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" sheetId="1" state="visible" r:id="rId3"/>
    <sheet name="SCE" sheetId="2" state="visible" r:id="rId4"/>
    <sheet name="SDGE" sheetId="3" state="visible" r:id="rId5"/>
    <sheet name="All Summary" sheetId="4" state="visible" r:id="rId6"/>
    <sheet name="Redacted Summary" sheetId="5" state="visible" r:id="rId7"/>
    <sheet name="DWR purchases" sheetId="6" state="visible" r:id="rId8"/>
    <sheet name="Summary Table" sheetId="7" state="visible" r:id="rId9"/>
    <sheet name="Core &amp; Non-core" sheetId="8" state="visible" r:id="rId10"/>
    <sheet name="PGE - Core Analysis" sheetId="9" state="visible" r:id="rId11"/>
    <sheet name="Curves" sheetId="10" state="visible" r:id="rId12"/>
  </sheets>
  <definedNames>
    <definedName function="false" hidden="false" localSheetId="3" name="_xlnm.Print_Area" vbProcedure="false">'All Summary'!$A$5:$H$61</definedName>
    <definedName function="false" hidden="false" localSheetId="5" name="_xlnm.Print_Area" vbProcedure="false">'DWR purchases'!$A$2:$M$15</definedName>
    <definedName function="false" hidden="false" localSheetId="0" name="_xlnm.Print_Area" vbProcedure="false">PGE!$A$7:$K$144</definedName>
    <definedName function="false" hidden="false" localSheetId="0" name="_xlnm.Print_Titles" vbProcedure="false">PGE!$3:$5</definedName>
    <definedName function="false" hidden="false" localSheetId="4" name="_xlnm.Print_Area" vbProcedure="false">'Redacted Summary'!$C$7:$H$66</definedName>
    <definedName function="false" hidden="false" localSheetId="1" name="_xlnm.Print_Area" vbProcedure="false">SCE!$A$5:$K$140</definedName>
    <definedName function="false" hidden="false" localSheetId="1" name="_xlnm.Print_Titles" vbProcedure="false">SCE!$2:$4</definedName>
    <definedName function="false" hidden="false" localSheetId="2" name="_xlnm.Print_Area" vbProcedure="false">SDGE!$A$6:$K$107</definedName>
    <definedName function="false" hidden="false" localSheetId="2" name="_xlnm.Print_Titles" vbProcedure="false">SDGE!$3:$5</definedName>
    <definedName function="false" hidden="false" localSheetId="6" name="_xlnm.Print_Area" vbProcedure="false">'Summary Table'!$A$2:$M$34</definedName>
    <definedName function="false" hidden="false" name="printrang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<sst xmlns="http://schemas.openxmlformats.org/spreadsheetml/2006/main" count="994" uniqueCount="307">
  <si>
    <t xml:space="preserve">Annual</t>
  </si>
  <si>
    <t xml:space="preserve">Current</t>
  </si>
  <si>
    <t xml:space="preserve">Revenue</t>
  </si>
  <si>
    <t xml:space="preserve">New Total </t>
  </si>
  <si>
    <t xml:space="preserve">New Rates</t>
  </si>
  <si>
    <t xml:space="preserve">Rate Class</t>
  </si>
  <si>
    <t xml:space="preserve">Rate</t>
  </si>
  <si>
    <t xml:space="preserve">Rate Description</t>
  </si>
  <si>
    <t xml:space="preserve">Description</t>
  </si>
  <si>
    <t xml:space="preserve">Sales (GWh)</t>
  </si>
  <si>
    <t xml:space="preserve">Rate (cents)</t>
  </si>
  <si>
    <t xml:space="preserve">Revenue (MM)</t>
  </si>
  <si>
    <t xml:space="preserve">Increase (MM)</t>
  </si>
  <si>
    <t xml:space="preserve">(cents/kWh)</t>
  </si>
  <si>
    <t xml:space="preserve">Increase %</t>
  </si>
  <si>
    <t xml:space="preserve">chk</t>
  </si>
  <si>
    <t xml:space="preserve">Residential</t>
  </si>
  <si>
    <t xml:space="preserve">E1</t>
  </si>
  <si>
    <t xml:space="preserve">EL1</t>
  </si>
  <si>
    <t xml:space="preserve">E7</t>
  </si>
  <si>
    <t xml:space="preserve">EL7</t>
  </si>
  <si>
    <t xml:space="preserve">E8</t>
  </si>
  <si>
    <t xml:space="preserve">EL8</t>
  </si>
  <si>
    <t xml:space="preserve">Commercial</t>
  </si>
  <si>
    <t xml:space="preserve">A1</t>
  </si>
  <si>
    <t xml:space="preserve">A6</t>
  </si>
  <si>
    <t xml:space="preserve">A15</t>
  </si>
  <si>
    <t xml:space="preserve">TC1</t>
  </si>
  <si>
    <t xml:space="preserve">A10TP</t>
  </si>
  <si>
    <t xml:space="preserve">A10S</t>
  </si>
  <si>
    <t xml:space="preserve">E19T</t>
  </si>
  <si>
    <t xml:space="preserve">E19P</t>
  </si>
  <si>
    <t xml:space="preserve">E19S</t>
  </si>
  <si>
    <t xml:space="preserve">Industrial</t>
  </si>
  <si>
    <t xml:space="preserve">E20T</t>
  </si>
  <si>
    <t xml:space="preserve">E20P</t>
  </si>
  <si>
    <t xml:space="preserve">E20S</t>
  </si>
  <si>
    <t xml:space="preserve">Other</t>
  </si>
  <si>
    <t xml:space="preserve">Stby T</t>
  </si>
  <si>
    <t xml:space="preserve">Stby P</t>
  </si>
  <si>
    <t xml:space="preserve">Stby S</t>
  </si>
  <si>
    <t xml:space="preserve">Other - LS12, LS3, OL1, LS3</t>
  </si>
  <si>
    <t xml:space="preserve">Agriculture</t>
  </si>
  <si>
    <t xml:space="preserve">AG1A</t>
  </si>
  <si>
    <t xml:space="preserve">AG1B</t>
  </si>
  <si>
    <t xml:space="preserve">AGRA</t>
  </si>
  <si>
    <t xml:space="preserve">AGRB</t>
  </si>
  <si>
    <t xml:space="preserve">AGVA</t>
  </si>
  <si>
    <t xml:space="preserve">AGVB</t>
  </si>
  <si>
    <t xml:space="preserve">AG4A</t>
  </si>
  <si>
    <t xml:space="preserve">AG4B</t>
  </si>
  <si>
    <t xml:space="preserve">AG4C</t>
  </si>
  <si>
    <t xml:space="preserve">AG5A</t>
  </si>
  <si>
    <t xml:space="preserve">AG5b</t>
  </si>
  <si>
    <t xml:space="preserve">AG5C</t>
  </si>
  <si>
    <t xml:space="preserve">ARTP - E19S</t>
  </si>
  <si>
    <t xml:space="preserve">ARTP - E20T</t>
  </si>
  <si>
    <t xml:space="preserve">ARTP - E20S</t>
  </si>
  <si>
    <t xml:space="preserve">Special Contracts</t>
  </si>
  <si>
    <t xml:space="preserve">Energy Sec</t>
  </si>
  <si>
    <t xml:space="preserve">Total System</t>
  </si>
  <si>
    <t xml:space="preserve">Agricultural</t>
  </si>
  <si>
    <t xml:space="preserve">Total</t>
  </si>
  <si>
    <t xml:space="preserve">Core</t>
  </si>
  <si>
    <t xml:space="preserve">Non-Core</t>
  </si>
  <si>
    <t xml:space="preserve">Non Care</t>
  </si>
  <si>
    <t xml:space="preserve">0 to 130% of Baseline</t>
  </si>
  <si>
    <t xml:space="preserve">100% to 130% of Baseline</t>
  </si>
  <si>
    <t xml:space="preserve">130% to 200% of Baseline</t>
  </si>
  <si>
    <t xml:space="preserve">over 200% of Baseline</t>
  </si>
  <si>
    <t xml:space="preserve">10% rate reduction</t>
  </si>
  <si>
    <t xml:space="preserve">Total Non Care</t>
  </si>
  <si>
    <t xml:space="preserve">Care</t>
  </si>
  <si>
    <t xml:space="preserve">California Alternative Rates for Energy</t>
  </si>
  <si>
    <t xml:space="preserve">Total Care</t>
  </si>
  <si>
    <t xml:space="preserve">Small &amp; Med Coml</t>
  </si>
  <si>
    <t xml:space="preserve">GS-1</t>
  </si>
  <si>
    <t xml:space="preserve">No more than 20kW in any 3 of 12 consecutive months</t>
  </si>
  <si>
    <t xml:space="preserve">Fixed Charges</t>
  </si>
  <si>
    <t xml:space="preserve">Summer Tier 1</t>
  </si>
  <si>
    <t xml:space="preserve">Summer Tier 2</t>
  </si>
  <si>
    <t xml:space="preserve">Wniter Tier 1</t>
  </si>
  <si>
    <t xml:space="preserve">Winter Tier 2</t>
  </si>
  <si>
    <t xml:space="preserve">Total GS-1 &amp; TC-1</t>
  </si>
  <si>
    <t xml:space="preserve">GS-2</t>
  </si>
  <si>
    <t xml:space="preserve">Use of 20 to 500 kW</t>
  </si>
  <si>
    <t xml:space="preserve">Summer First Block</t>
  </si>
  <si>
    <t xml:space="preserve">Summer Second Block</t>
  </si>
  <si>
    <t xml:space="preserve">Winter First Block</t>
  </si>
  <si>
    <t xml:space="preserve">Winter Second Block</t>
  </si>
  <si>
    <t xml:space="preserve">Total GS-2</t>
  </si>
  <si>
    <t xml:space="preserve">TOU-GS-2</t>
  </si>
  <si>
    <t xml:space="preserve">Use of 20 to 500 kW, Time Of Use</t>
  </si>
  <si>
    <t xml:space="preserve">Off-Peak Energy</t>
  </si>
  <si>
    <t xml:space="preserve">Summer On-Peak Energy</t>
  </si>
  <si>
    <t xml:space="preserve">Total TOU-GS-2</t>
  </si>
  <si>
    <t xml:space="preserve">TOU-8-SEC</t>
  </si>
  <si>
    <t xml:space="preserve">In excess of 500 kW</t>
  </si>
  <si>
    <t xml:space="preserve">Total TOU-8-SEC</t>
  </si>
  <si>
    <t xml:space="preserve">TOU-8-PRI</t>
  </si>
  <si>
    <t xml:space="preserve">In excess of 500 kW, Time Of Use</t>
  </si>
  <si>
    <t xml:space="preserve">Total TOU-8_PRI</t>
  </si>
  <si>
    <t xml:space="preserve">TOU-8-SUB</t>
  </si>
  <si>
    <t xml:space="preserve">Total TOU-8-SUB</t>
  </si>
  <si>
    <t xml:space="preserve">Agricultural &amp; Pumping</t>
  </si>
  <si>
    <t xml:space="preserve">PA-1</t>
  </si>
  <si>
    <t xml:space="preserve">Less than 500 kW</t>
  </si>
  <si>
    <t xml:space="preserve">Total PA-1</t>
  </si>
  <si>
    <t xml:space="preserve">PA-2</t>
  </si>
  <si>
    <t xml:space="preserve">Total PA-2</t>
  </si>
  <si>
    <t xml:space="preserve">AG-TOU</t>
  </si>
  <si>
    <t xml:space="preserve">Total AG-TOU</t>
  </si>
  <si>
    <t xml:space="preserve">TOU-PA-5</t>
  </si>
  <si>
    <t xml:space="preserve">Total TOU-PA-5</t>
  </si>
  <si>
    <t xml:space="preserve">Lighting</t>
  </si>
  <si>
    <t xml:space="preserve">TC-1</t>
  </si>
  <si>
    <t xml:space="preserve">Total TC-1</t>
  </si>
  <si>
    <t xml:space="preserve">Street Lights</t>
  </si>
  <si>
    <t xml:space="preserve">Residential </t>
  </si>
  <si>
    <t xml:space="preserve">Non-CARE</t>
  </si>
  <si>
    <t xml:space="preserve">Baseline</t>
  </si>
  <si>
    <t xml:space="preserve">130% of Baseline</t>
  </si>
  <si>
    <t xml:space="preserve">130%-200% of BL</t>
  </si>
  <si>
    <t xml:space="preserve">Over 200% of BL</t>
  </si>
  <si>
    <t xml:space="preserve">CARE</t>
  </si>
  <si>
    <t xml:space="preserve">Baseline CARE</t>
  </si>
  <si>
    <t xml:space="preserve">Total CARE Residential</t>
  </si>
  <si>
    <t xml:space="preserve">Commercial Industrial</t>
  </si>
  <si>
    <t xml:space="preserve">Schedule A/Schedule A-TC-Under 20kW</t>
  </si>
  <si>
    <t xml:space="preserve">Small Commercial</t>
  </si>
  <si>
    <t xml:space="preserve">Traffic Control</t>
  </si>
  <si>
    <t xml:space="preserve">Secondary (Includes A-TC)</t>
  </si>
  <si>
    <t xml:space="preserve">A-TC</t>
  </si>
  <si>
    <t xml:space="preserve">Tier 1</t>
  </si>
  <si>
    <t xml:space="preserve">Tier 2</t>
  </si>
  <si>
    <t xml:space="preserve">Primary</t>
  </si>
  <si>
    <t xml:space="preserve">Total for Schedule A/Schedule A-TC</t>
  </si>
  <si>
    <t xml:space="preserve">Schedule AL-TOU - 20-500 KW</t>
  </si>
  <si>
    <t xml:space="preserve">Greater than 20kW and less than 500kW </t>
  </si>
  <si>
    <t xml:space="preserve">On-Peak Summer</t>
  </si>
  <si>
    <t xml:space="preserve">Secondary</t>
  </si>
  <si>
    <t xml:space="preserve">Semi-Peak Summer</t>
  </si>
  <si>
    <t xml:space="preserve">Off-Peak Summer</t>
  </si>
  <si>
    <t xml:space="preserve">Total Schedule AL-TOU</t>
  </si>
  <si>
    <t xml:space="preserve">Schedule A6-TOU- Over 500 KW</t>
  </si>
  <si>
    <t xml:space="preserve">A6-TOU</t>
  </si>
  <si>
    <t xml:space="preserve">Greater than 500kW</t>
  </si>
  <si>
    <t xml:space="preserve">Non-Peak</t>
  </si>
  <si>
    <t xml:space="preserve">Total Schedule A6-TOU</t>
  </si>
  <si>
    <t xml:space="preserve">AGRICULTURAL</t>
  </si>
  <si>
    <t xml:space="preserve">Schedule PA-TOU</t>
  </si>
  <si>
    <t xml:space="preserve">Less than 500kW</t>
  </si>
  <si>
    <t xml:space="preserve">On-Peak</t>
  </si>
  <si>
    <t xml:space="preserve">Off-Peak</t>
  </si>
  <si>
    <t xml:space="preserve">Schedule PA</t>
  </si>
  <si>
    <t xml:space="preserve">Total Schedule PA-TOU, PA</t>
  </si>
  <si>
    <t xml:space="preserve">Streetlights</t>
  </si>
  <si>
    <t xml:space="preserve">Total Streetlights</t>
  </si>
  <si>
    <t xml:space="preserve">PGE</t>
  </si>
  <si>
    <t xml:space="preserve">SCE</t>
  </si>
  <si>
    <t xml:space="preserve">SDGE</t>
  </si>
  <si>
    <t xml:space="preserve">TOTAL</t>
  </si>
  <si>
    <t xml:space="preserve">PGE Retained Gen + QF</t>
  </si>
  <si>
    <t xml:space="preserve">SCE Retained Gen + QF</t>
  </si>
  <si>
    <t xml:space="preserve">SDGE Retained Gen + QF</t>
  </si>
  <si>
    <t xml:space="preserve">CONTRACTED</t>
  </si>
  <si>
    <t xml:space="preserve">NON CONTRACTED</t>
  </si>
  <si>
    <t xml:space="preserve">        CREDIT ACCUMULATION</t>
  </si>
  <si>
    <t xml:space="preserve">Mwh</t>
  </si>
  <si>
    <t xml:space="preserve">Cost (000)</t>
  </si>
  <si>
    <t xml:space="preserve">Avg. Price</t>
  </si>
  <si>
    <t xml:space="preserve">Price delta</t>
  </si>
  <si>
    <t xml:space="preserve">Cash Flow (000)</t>
  </si>
  <si>
    <t xml:space="preserve">Cumulative plus  6.5% pa</t>
  </si>
  <si>
    <t xml:space="preserve">Q1</t>
  </si>
  <si>
    <t xml:space="preserve">Q2</t>
  </si>
  <si>
    <t xml:space="preserve">Q3</t>
  </si>
  <si>
    <t xml:space="preserve">Q4</t>
  </si>
  <si>
    <t xml:space="preserve">Cost</t>
  </si>
  <si>
    <t xml:space="preserve">Spot Prices (1=$104 from DWR, 0= $82.75 from Blend)</t>
  </si>
  <si>
    <t xml:space="preserve">Past Utility split (1=Pro rata,  0=Pro rata + 1/2 to nc</t>
  </si>
  <si>
    <t xml:space="preserve">Cost to Core:</t>
  </si>
  <si>
    <t xml:space="preserve">Cents per kw:</t>
  </si>
  <si>
    <t xml:space="preserve">PG&amp;E</t>
  </si>
  <si>
    <t xml:space="preserve">Share of past DWR</t>
  </si>
  <si>
    <t xml:space="preserve">Cost of short</t>
  </si>
  <si>
    <t xml:space="preserve">Value of long</t>
  </si>
  <si>
    <t xml:space="preserve">Cost of generation + QF</t>
  </si>
  <si>
    <t xml:space="preserve">Share of Past Utility</t>
  </si>
  <si>
    <t xml:space="preserve">Total Gen</t>
  </si>
  <si>
    <t xml:space="preserve">Other T&amp;D</t>
  </si>
  <si>
    <t xml:space="preserve">Total Core per proposal</t>
  </si>
  <si>
    <t xml:space="preserve">Total Core per current CPUC</t>
  </si>
  <si>
    <t xml:space="preserve">Cost to Non-Core:</t>
  </si>
  <si>
    <t xml:space="preserve">Other T&amp;D </t>
  </si>
  <si>
    <t xml:space="preserve">Total Non-Core per proposal</t>
  </si>
  <si>
    <t xml:space="preserve">Total Non-Core per current CPUC</t>
  </si>
  <si>
    <t xml:space="preserve">Toggle switch</t>
  </si>
  <si>
    <t xml:space="preserve">1=83,000 mw</t>
  </si>
  <si>
    <t xml:space="preserve">Total Vol</t>
  </si>
  <si>
    <t xml:space="preserve">0=93,000 mw</t>
  </si>
  <si>
    <t xml:space="preserve">1=dwr for spot (104)</t>
  </si>
  <si>
    <t xml:space="preserve">Prices</t>
  </si>
  <si>
    <t xml:space="preserve">0=dwr/hen for spot (82.75)</t>
  </si>
  <si>
    <t xml:space="preserve">Under 500kW (core) CPUC</t>
  </si>
  <si>
    <t xml:space="preserve">Over (non core) CPUC</t>
  </si>
  <si>
    <t xml:space="preserve">1=Pro Rata</t>
  </si>
  <si>
    <t xml:space="preserve">Total CPUC (demand)</t>
  </si>
  <si>
    <t xml:space="preserve">Past Utility</t>
  </si>
  <si>
    <t xml:space="preserve">0=Pro rata + 1/2 to nc</t>
  </si>
  <si>
    <t xml:space="preserve">Retained Gen + QF (supply)*</t>
  </si>
  <si>
    <t xml:space="preserve">Retained Gen + QF</t>
  </si>
  <si>
    <t xml:space="preserve">Open long (short)</t>
  </si>
  <si>
    <t xml:space="preserve">Core / Open Long / (short) position</t>
  </si>
  <si>
    <t xml:space="preserve">* From 2001 estimated (page 27 MOU slides)</t>
  </si>
  <si>
    <t xml:space="preserve">Past DWR</t>
  </si>
  <si>
    <t xml:space="preserve">Future DWR</t>
  </si>
  <si>
    <t xml:space="preserve">Past Utility with 15 year amortization assumption</t>
  </si>
  <si>
    <t xml:space="preserve">Future Utility</t>
  </si>
  <si>
    <t xml:space="preserve">Total Revenue</t>
  </si>
  <si>
    <t xml:space="preserve">Other T&amp;D per Ghw (cents)</t>
  </si>
  <si>
    <t xml:space="preserve">T&amp;D per CPUC</t>
  </si>
  <si>
    <t xml:space="preserve">Core Cost:</t>
  </si>
  <si>
    <t xml:space="preserve">Share of Past Utility with 20 year amortization</t>
  </si>
  <si>
    <t xml:space="preserve">Other T&amp;D (at~200% of non-core rate)</t>
  </si>
  <si>
    <t xml:space="preserve">Total Core Load </t>
  </si>
  <si>
    <t xml:space="preserve">Cost to Core</t>
  </si>
  <si>
    <t xml:space="preserve">Cost to Core per proposed CPUC</t>
  </si>
  <si>
    <t xml:space="preserve">Non-Core Cost:</t>
  </si>
  <si>
    <t xml:space="preserve">Total Non-Core Load </t>
  </si>
  <si>
    <t xml:space="preserve">Cost to Non-Core</t>
  </si>
  <si>
    <t xml:space="preserve">Cost to Non-Core per proposed CPUC</t>
  </si>
  <si>
    <t xml:space="preserve">Core Rate T&amp;D (cents)</t>
  </si>
  <si>
    <t xml:space="preserve">Non Core T&amp;D (cents)</t>
  </si>
  <si>
    <t xml:space="preserve">All T&amp;D  (cents)</t>
  </si>
  <si>
    <t xml:space="preserve">Total dollars T&amp;D</t>
  </si>
  <si>
    <t xml:space="preserve">Core T&amp;D/non core T&amp;D</t>
  </si>
  <si>
    <t xml:space="preserve">Core T&amp;D/ All T&amp;D</t>
  </si>
  <si>
    <t xml:space="preserve">Per 12/31/00 10-K (kwh)</t>
  </si>
  <si>
    <t xml:space="preserve">Electric revenue</t>
  </si>
  <si>
    <t xml:space="preserve">Electric Revenue per kwh</t>
  </si>
  <si>
    <t xml:space="preserve">Generating portion per MOU</t>
  </si>
  <si>
    <t xml:space="preserve">T&amp;D and other costs</t>
  </si>
  <si>
    <t xml:space="preserve">Growth Assumption</t>
  </si>
  <si>
    <t xml:space="preserve">Load Conservation</t>
  </si>
  <si>
    <t xml:space="preserve">Price Elasticity</t>
  </si>
  <si>
    <t xml:space="preserve">DWR Contracts*</t>
  </si>
  <si>
    <t xml:space="preserve">Retained Gen + QF + DWR Contracts</t>
  </si>
  <si>
    <t xml:space="preserve">Reallocation of Core/Open Long/(short) position</t>
  </si>
  <si>
    <t xml:space="preserve">Net Core/Open Long/(short) position</t>
  </si>
  <si>
    <t xml:space="preserve">Net Core/ Open Long position/Total DWR Contracts</t>
  </si>
  <si>
    <t xml:space="preserve">Net Core/Open Long/(short) position sold to market</t>
  </si>
  <si>
    <t xml:space="preserve">Core Load Residential</t>
  </si>
  <si>
    <t xml:space="preserve">Core Revenue Residential</t>
  </si>
  <si>
    <t xml:space="preserve">Current proposed CPUC price cents</t>
  </si>
  <si>
    <t xml:space="preserve">Core Load Non Residential</t>
  </si>
  <si>
    <t xml:space="preserve">Core Revenue Non Residential</t>
  </si>
  <si>
    <t xml:space="preserve">Core Load</t>
  </si>
  <si>
    <t xml:space="preserve">Core Revenue</t>
  </si>
  <si>
    <t xml:space="preserve">Non Core Load</t>
  </si>
  <si>
    <t xml:space="preserve">Non Core Revenue</t>
  </si>
  <si>
    <t xml:space="preserve">Other T&amp;D (plug to total revenue)</t>
  </si>
  <si>
    <t xml:space="preserve">Share of Future DWR (contracts)*</t>
  </si>
  <si>
    <t xml:space="preserve">Other T&amp;D (pro rata) </t>
  </si>
  <si>
    <t xml:space="preserve">Open Long position sold to market</t>
  </si>
  <si>
    <t xml:space="preserve">* Using the % from p. 27 of MOU of DWR contract purchase of total demand and the 2001 Contract price per p. 7 of Supplemental Financial Info from MOU with SCE</t>
  </si>
  <si>
    <t xml:space="preserve">** T&amp;D component increased by a 1.25 factor per Robert Neustaedter research on PG&amp;E's core customer's average T&amp;D rate component </t>
  </si>
  <si>
    <t xml:space="preserve">Contracted</t>
  </si>
  <si>
    <t xml:space="preserve">Non-Contracted</t>
  </si>
  <si>
    <t xml:space="preserve">Contractual/Spot</t>
  </si>
  <si>
    <t xml:space="preserve">MTM</t>
  </si>
  <si>
    <t xml:space="preserve">Present</t>
  </si>
  <si>
    <t xml:space="preserve">Spread</t>
  </si>
  <si>
    <t xml:space="preserve">Position</t>
  </si>
  <si>
    <t xml:space="preserve">Value of</t>
  </si>
  <si>
    <t xml:space="preserve">8 yr BBB- Utility Interest Rate</t>
  </si>
  <si>
    <t xml:space="preserve">Total Cost</t>
  </si>
  <si>
    <t xml:space="preserve">Avg Price</t>
  </si>
  <si>
    <t xml:space="preserve">Future</t>
  </si>
  <si>
    <t xml:space="preserve">Source: Bloomberg 5/10/01</t>
  </si>
  <si>
    <t xml:space="preserve">NPV</t>
  </si>
  <si>
    <t xml:space="preserve">($1000s)</t>
  </si>
  <si>
    <t xml:space="preserve">($/Mwh)</t>
  </si>
  <si>
    <t xml:space="preserve">PV of Future Mrkt Purchases</t>
  </si>
  <si>
    <t xml:space="preserve">ENA</t>
  </si>
  <si>
    <t xml:space="preserve">Henwood</t>
  </si>
  <si>
    <t xml:space="preserve">Inflation</t>
  </si>
  <si>
    <t xml:space="preserve">Floating</t>
  </si>
  <si>
    <t xml:space="preserve">Fixed</t>
  </si>
  <si>
    <t xml:space="preserve">Contracted &amp; Non Contracted</t>
  </si>
  <si>
    <t xml:space="preserve">At Indicated</t>
  </si>
  <si>
    <t xml:space="preserve">Curve Selection:</t>
  </si>
  <si>
    <t xml:space="preserve">SP15</t>
  </si>
  <si>
    <t xml:space="preserve">NP15</t>
  </si>
  <si>
    <t xml:space="preserve">Index</t>
  </si>
  <si>
    <t xml:space="preserve">n/a</t>
  </si>
  <si>
    <t xml:space="preserve">Point in Time</t>
  </si>
  <si>
    <t xml:space="preserve">1= DWR</t>
  </si>
  <si>
    <t xml:space="preserve">uninflated</t>
  </si>
  <si>
    <t xml:space="preserve">inflated</t>
  </si>
  <si>
    <t xml:space="preserve">DWR</t>
  </si>
  <si>
    <t xml:space="preserve">Price</t>
  </si>
  <si>
    <t xml:space="preserve">Volume</t>
  </si>
  <si>
    <t xml:space="preserve">2= Henwood</t>
  </si>
  <si>
    <t xml:space="preserve">3= ENA</t>
  </si>
  <si>
    <t xml:space="preserve">NP-15 % of Blend:</t>
  </si>
  <si>
    <t xml:space="preserve">Yearly Henwood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</si>
</sst>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\$#,##0_);[RED]&quot;($&quot;#,##0\)"/>
    <numFmt numFmtId="166" formatCode="[$-409]#,##0_);\(#,##0\)"/>
    <numFmt numFmtId="167" formatCode="0.00%"/>
    <numFmt numFmtId="168" formatCode="#,##0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.0_);_(\$* \(#,##0.0\);_(\$* \-??_);_(@_)"/>
    <numFmt numFmtId="173" formatCode="0%"/>
    <numFmt numFmtId="174" formatCode="0.0%"/>
    <numFmt numFmtId="175" formatCode="_(* #,##0.0_);_(* \(#,##0.0\);_(* \-??_);_(@_)"/>
    <numFmt numFmtId="176" formatCode="_(\$* #,##0_);_(\$* \(#,##0\);_(\$* \-??_);_(@_)"/>
    <numFmt numFmtId="177" formatCode="0"/>
    <numFmt numFmtId="178" formatCode="_(* #,##0.000_);_(* \(#,##0.000\);_(* \-??_);_(@_)"/>
    <numFmt numFmtId="179" formatCode="[$-409]m/d/yyyy"/>
    <numFmt numFmtId="180" formatCode="mm/dd/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U1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1" width="23.99"/>
    <col collapsed="false" customWidth="true" hidden="false" outlineLevel="0" max="3" min="3" style="1" width="18.7"/>
    <col collapsed="false" customWidth="true" hidden="false" outlineLevel="0" max="4" min="4" style="1" width="28.28"/>
    <col collapsed="false" customWidth="true" hidden="false" outlineLevel="0" max="5" min="5" style="2" width="11.7"/>
    <col collapsed="false" customWidth="true" hidden="false" outlineLevel="0" max="6" min="6" style="3" width="12.28"/>
    <col collapsed="false" customWidth="true" hidden="false" outlineLevel="0" max="7" min="7" style="4" width="13.99"/>
    <col collapsed="false" customWidth="true" hidden="false" outlineLevel="0" max="8" min="8" style="4" width="14.14"/>
    <col collapsed="false" customWidth="true" hidden="false" outlineLevel="0" max="9" min="9" style="4" width="11.56"/>
    <col collapsed="false" customWidth="true" hidden="false" outlineLevel="0" max="10" min="10" style="3" width="12.28"/>
    <col collapsed="false" customWidth="true" hidden="false" outlineLevel="0" max="11" min="11" style="5" width="10.28"/>
    <col collapsed="false" customWidth="true" hidden="false" outlineLevel="0" max="13" min="13" style="6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5" t="s">
        <v>14</v>
      </c>
      <c r="M4" s="6" t="s">
        <v>15</v>
      </c>
    </row>
    <row r="7" customFormat="false" ht="12.75" hidden="false" customHeight="false" outlineLevel="0" collapsed="false">
      <c r="D7" s="7"/>
      <c r="E7" s="8"/>
      <c r="F7" s="9"/>
      <c r="G7" s="10"/>
      <c r="H7" s="10"/>
      <c r="I7" s="10"/>
      <c r="J7" s="9"/>
      <c r="K7" s="11"/>
      <c r="N7" s="1"/>
      <c r="O7" s="2"/>
      <c r="P7" s="3"/>
      <c r="Q7" s="4"/>
      <c r="R7" s="4"/>
      <c r="S7" s="4"/>
      <c r="T7" s="3"/>
      <c r="U7" s="12"/>
    </row>
    <row r="8" customFormat="false" ht="13.5" hidden="false" customHeight="false" outlineLevel="0" collapsed="false">
      <c r="A8" s="1" t="s">
        <v>16</v>
      </c>
      <c r="D8" s="13" t="s">
        <v>17</v>
      </c>
      <c r="E8" s="14" t="n">
        <v>23367.450386</v>
      </c>
      <c r="F8" s="15" t="n">
        <f aca="false">100*G8/E8</f>
        <v>12.0494792691929</v>
      </c>
      <c r="G8" s="16" t="n">
        <v>2815.65609</v>
      </c>
      <c r="H8" s="17" t="n">
        <v>543.543773</v>
      </c>
      <c r="I8" s="16" t="n">
        <f aca="false">G8+H8</f>
        <v>3359.199863</v>
      </c>
      <c r="J8" s="15" t="n">
        <f aca="false">I8/E8*100</f>
        <v>14.3755514936819</v>
      </c>
      <c r="K8" s="18" t="n">
        <f aca="false">(J8-F8)/F8</f>
        <v>0.193043381587131</v>
      </c>
      <c r="N8" s="1"/>
      <c r="O8" s="2"/>
      <c r="P8" s="3"/>
      <c r="Q8" s="19"/>
      <c r="R8" s="19"/>
      <c r="S8" s="19"/>
      <c r="T8" s="3"/>
      <c r="U8" s="12"/>
    </row>
    <row r="9" customFormat="false" ht="13.5" hidden="false" customHeight="false" outlineLevel="0" collapsed="false">
      <c r="D9" s="0"/>
      <c r="E9" s="8"/>
      <c r="F9" s="9"/>
      <c r="G9" s="10"/>
      <c r="H9" s="20"/>
      <c r="I9" s="10"/>
      <c r="J9" s="9"/>
      <c r="K9" s="11"/>
      <c r="N9" s="1"/>
      <c r="O9" s="2"/>
      <c r="P9" s="3"/>
      <c r="Q9" s="4"/>
      <c r="R9" s="4"/>
      <c r="S9" s="4"/>
      <c r="T9" s="3"/>
      <c r="U9" s="12"/>
    </row>
    <row r="10" customFormat="false" ht="12.75" hidden="false" customHeight="false" outlineLevel="0" collapsed="false">
      <c r="D10" s="7"/>
      <c r="E10" s="8"/>
      <c r="F10" s="9"/>
      <c r="G10" s="10"/>
      <c r="H10" s="10"/>
      <c r="I10" s="10"/>
      <c r="J10" s="9"/>
      <c r="K10" s="11"/>
      <c r="N10" s="1"/>
      <c r="O10" s="2"/>
      <c r="P10" s="3"/>
      <c r="Q10" s="4"/>
      <c r="R10" s="4"/>
      <c r="S10" s="4"/>
      <c r="T10" s="3"/>
      <c r="U10" s="12"/>
    </row>
    <row r="11" customFormat="false" ht="13.5" hidden="false" customHeight="false" outlineLevel="0" collapsed="false">
      <c r="A11" s="1" t="s">
        <v>16</v>
      </c>
      <c r="D11" s="13" t="s">
        <v>18</v>
      </c>
      <c r="E11" s="14" t="n">
        <v>1922.3954</v>
      </c>
      <c r="F11" s="15" t="n">
        <f aca="false">100*G11/E11</f>
        <v>8.74533985048029</v>
      </c>
      <c r="G11" s="16" t="n">
        <v>168.120011</v>
      </c>
      <c r="H11" s="16" t="n">
        <v>0</v>
      </c>
      <c r="I11" s="16" t="n">
        <f aca="false">G11+H11</f>
        <v>168.120011</v>
      </c>
      <c r="J11" s="15" t="n">
        <f aca="false">I11/E11*100</f>
        <v>8.74533985048029</v>
      </c>
      <c r="K11" s="18" t="n">
        <f aca="false">(J11-F11)/F11</f>
        <v>0</v>
      </c>
      <c r="N11" s="1"/>
      <c r="O11" s="2"/>
      <c r="P11" s="3"/>
      <c r="Q11" s="4"/>
      <c r="R11" s="4"/>
      <c r="S11" s="4"/>
      <c r="T11" s="3"/>
      <c r="U11" s="12"/>
    </row>
    <row r="12" customFormat="false" ht="13.5" hidden="false" customHeight="false" outlineLevel="0" collapsed="false">
      <c r="D12" s="0"/>
      <c r="E12" s="8"/>
      <c r="F12" s="9"/>
      <c r="G12" s="10"/>
      <c r="H12" s="10"/>
      <c r="I12" s="10"/>
      <c r="J12" s="9"/>
      <c r="K12" s="11"/>
      <c r="N12" s="1"/>
      <c r="O12" s="2"/>
      <c r="P12" s="3"/>
      <c r="Q12" s="4"/>
      <c r="R12" s="4"/>
      <c r="S12" s="4"/>
      <c r="T12" s="3"/>
      <c r="U12" s="12"/>
    </row>
    <row r="13" customFormat="false" ht="12.75" hidden="false" customHeight="false" outlineLevel="0" collapsed="false">
      <c r="D13" s="7"/>
      <c r="E13" s="8"/>
      <c r="F13" s="9"/>
      <c r="G13" s="10"/>
      <c r="H13" s="10"/>
      <c r="I13" s="10"/>
      <c r="J13" s="9"/>
      <c r="K13" s="11"/>
      <c r="N13" s="1"/>
      <c r="O13" s="2"/>
      <c r="P13" s="3"/>
      <c r="Q13" s="4"/>
      <c r="R13" s="4"/>
      <c r="S13" s="4"/>
      <c r="T13" s="3"/>
      <c r="U13" s="12"/>
    </row>
    <row r="14" customFormat="false" ht="13.5" hidden="false" customHeight="false" outlineLevel="0" collapsed="false">
      <c r="A14" s="1" t="s">
        <v>16</v>
      </c>
      <c r="D14" s="13" t="s">
        <v>19</v>
      </c>
      <c r="E14" s="14" t="n">
        <v>1199.011059</v>
      </c>
      <c r="F14" s="15" t="n">
        <f aca="false">100*G14/E14</f>
        <v>10.1206815474418</v>
      </c>
      <c r="G14" s="16" t="n">
        <v>121.348091</v>
      </c>
      <c r="H14" s="16" t="n">
        <v>43.721831</v>
      </c>
      <c r="I14" s="16" t="n">
        <f aca="false">G14+H14</f>
        <v>165.069922</v>
      </c>
      <c r="J14" s="15" t="n">
        <f aca="false">I14/E14*100</f>
        <v>13.7671726011995</v>
      </c>
      <c r="K14" s="18" t="n">
        <f aca="false">(J14-F14)/F14</f>
        <v>0.360300937902682</v>
      </c>
      <c r="N14" s="1"/>
      <c r="O14" s="2"/>
      <c r="P14" s="3"/>
      <c r="Q14" s="4"/>
      <c r="R14" s="4"/>
      <c r="S14" s="4"/>
      <c r="T14" s="3"/>
      <c r="U14" s="12"/>
    </row>
    <row r="15" customFormat="false" ht="13.5" hidden="false" customHeight="false" outlineLevel="0" collapsed="false">
      <c r="D15" s="21"/>
      <c r="E15" s="8"/>
      <c r="F15" s="9"/>
      <c r="G15" s="10"/>
      <c r="H15" s="10"/>
      <c r="I15" s="10"/>
      <c r="J15" s="9"/>
      <c r="K15" s="11"/>
      <c r="N15" s="1"/>
      <c r="O15" s="2"/>
      <c r="P15" s="3"/>
      <c r="Q15" s="4"/>
      <c r="R15" s="4"/>
      <c r="S15" s="4"/>
      <c r="T15" s="3"/>
      <c r="U15" s="12"/>
    </row>
    <row r="16" customFormat="false" ht="12.75" hidden="false" customHeight="false" outlineLevel="0" collapsed="false">
      <c r="D16" s="21"/>
      <c r="E16" s="8"/>
      <c r="F16" s="9"/>
      <c r="G16" s="10"/>
      <c r="H16" s="10"/>
      <c r="I16" s="10"/>
      <c r="J16" s="9"/>
      <c r="K16" s="11"/>
      <c r="N16" s="1"/>
      <c r="O16" s="2"/>
      <c r="P16" s="3"/>
      <c r="Q16" s="4"/>
      <c r="R16" s="4"/>
      <c r="S16" s="4"/>
      <c r="T16" s="3"/>
      <c r="U16" s="12"/>
    </row>
    <row r="17" customFormat="false" ht="13.5" hidden="false" customHeight="false" outlineLevel="0" collapsed="false">
      <c r="A17" s="1" t="s">
        <v>16</v>
      </c>
      <c r="D17" s="13" t="s">
        <v>20</v>
      </c>
      <c r="E17" s="14" t="n">
        <v>13.845847</v>
      </c>
      <c r="F17" s="15" t="n">
        <f aca="false">100*G17/E17</f>
        <v>9.11753538804813</v>
      </c>
      <c r="G17" s="16" t="n">
        <v>1.2624</v>
      </c>
      <c r="H17" s="16" t="n">
        <v>0</v>
      </c>
      <c r="I17" s="16" t="n">
        <f aca="false">G17+H17</f>
        <v>1.2624</v>
      </c>
      <c r="J17" s="15" t="n">
        <f aca="false">I17/E17*100</f>
        <v>9.11753538804813</v>
      </c>
      <c r="K17" s="18" t="n">
        <f aca="false">(J17-F17)/F17</f>
        <v>0</v>
      </c>
      <c r="N17" s="1"/>
      <c r="O17" s="2"/>
      <c r="P17" s="3"/>
      <c r="Q17" s="4"/>
      <c r="R17" s="4"/>
      <c r="S17" s="4"/>
      <c r="T17" s="3"/>
      <c r="U17" s="12"/>
    </row>
    <row r="18" customFormat="false" ht="13.5" hidden="false" customHeight="false" outlineLevel="0" collapsed="false">
      <c r="D18" s="21"/>
      <c r="E18" s="8"/>
      <c r="F18" s="9"/>
      <c r="G18" s="10"/>
      <c r="H18" s="10"/>
      <c r="I18" s="10"/>
      <c r="J18" s="9"/>
      <c r="K18" s="11"/>
      <c r="N18" s="1"/>
      <c r="O18" s="2"/>
      <c r="P18" s="3"/>
      <c r="Q18" s="4"/>
      <c r="R18" s="4"/>
      <c r="S18" s="4"/>
      <c r="T18" s="3"/>
      <c r="U18" s="12"/>
    </row>
    <row r="19" customFormat="false" ht="12.75" hidden="false" customHeight="false" outlineLevel="0" collapsed="false">
      <c r="D19" s="21"/>
      <c r="E19" s="8"/>
      <c r="F19" s="9"/>
      <c r="G19" s="10"/>
      <c r="H19" s="10"/>
      <c r="I19" s="10"/>
      <c r="J19" s="9"/>
      <c r="K19" s="11"/>
      <c r="N19" s="1"/>
      <c r="O19" s="2"/>
      <c r="P19" s="3"/>
      <c r="Q19" s="4"/>
      <c r="R19" s="4"/>
      <c r="S19" s="4"/>
      <c r="T19" s="3"/>
      <c r="U19" s="12"/>
    </row>
    <row r="20" customFormat="false" ht="13.5" hidden="false" customHeight="false" outlineLevel="0" collapsed="false">
      <c r="A20" s="1" t="s">
        <v>16</v>
      </c>
      <c r="D20" s="13" t="s">
        <v>21</v>
      </c>
      <c r="E20" s="14" t="n">
        <v>2248.111251</v>
      </c>
      <c r="F20" s="15" t="n">
        <f aca="false">100*G20/E20</f>
        <v>10.4066830721092</v>
      </c>
      <c r="G20" s="16" t="n">
        <v>233.953813</v>
      </c>
      <c r="H20" s="16" t="n">
        <v>110.272295</v>
      </c>
      <c r="I20" s="16" t="n">
        <f aca="false">G20+H20</f>
        <v>344.226108</v>
      </c>
      <c r="J20" s="15" t="n">
        <f aca="false">I20/E20*100</f>
        <v>15.3117915248581</v>
      </c>
      <c r="K20" s="18" t="n">
        <f aca="false">(J20-F20)/F20</f>
        <v>0.471342157607835</v>
      </c>
      <c r="N20" s="1"/>
      <c r="O20" s="2"/>
      <c r="P20" s="3"/>
      <c r="Q20" s="4"/>
      <c r="R20" s="4"/>
      <c r="S20" s="4"/>
      <c r="T20" s="3"/>
      <c r="U20" s="12"/>
    </row>
    <row r="21" customFormat="false" ht="13.5" hidden="false" customHeight="false" outlineLevel="0" collapsed="false">
      <c r="D21" s="21"/>
      <c r="E21" s="8"/>
      <c r="F21" s="9"/>
      <c r="G21" s="10"/>
      <c r="H21" s="10"/>
      <c r="I21" s="10"/>
      <c r="J21" s="9"/>
      <c r="K21" s="11"/>
      <c r="N21" s="1"/>
      <c r="O21" s="2"/>
      <c r="P21" s="3"/>
      <c r="Q21" s="4"/>
      <c r="R21" s="4"/>
      <c r="S21" s="4"/>
      <c r="T21" s="3"/>
      <c r="U21" s="12"/>
    </row>
    <row r="22" customFormat="false" ht="12.75" hidden="false" customHeight="false" outlineLevel="0" collapsed="false">
      <c r="D22" s="21"/>
      <c r="E22" s="8"/>
      <c r="F22" s="9"/>
      <c r="G22" s="10"/>
      <c r="H22" s="10"/>
      <c r="I22" s="10"/>
      <c r="J22" s="9"/>
      <c r="K22" s="11"/>
      <c r="N22" s="1"/>
      <c r="O22" s="2"/>
      <c r="P22" s="3"/>
      <c r="Q22" s="4"/>
      <c r="R22" s="4"/>
      <c r="S22" s="4"/>
      <c r="T22" s="3"/>
      <c r="U22" s="12"/>
    </row>
    <row r="23" customFormat="false" ht="13.5" hidden="false" customHeight="false" outlineLevel="0" collapsed="false">
      <c r="A23" s="1" t="s">
        <v>16</v>
      </c>
      <c r="D23" s="13" t="s">
        <v>22</v>
      </c>
      <c r="E23" s="14" t="n">
        <v>96.812372</v>
      </c>
      <c r="F23" s="15" t="n">
        <f aca="false">100*G23/E23</f>
        <v>8.08919339358817</v>
      </c>
      <c r="G23" s="16" t="n">
        <v>7.83134</v>
      </c>
      <c r="H23" s="16" t="n">
        <v>0</v>
      </c>
      <c r="I23" s="16" t="n">
        <f aca="false">G23+H23</f>
        <v>7.83134</v>
      </c>
      <c r="J23" s="15" t="n">
        <f aca="false">I23/E23*100</f>
        <v>8.08919339358817</v>
      </c>
      <c r="K23" s="18" t="n">
        <f aca="false">(J23-F23)/F23</f>
        <v>0</v>
      </c>
      <c r="N23" s="1"/>
      <c r="O23" s="2"/>
      <c r="P23" s="3"/>
      <c r="Q23" s="4"/>
      <c r="R23" s="4"/>
      <c r="S23" s="4"/>
      <c r="T23" s="3"/>
      <c r="U23" s="12"/>
    </row>
    <row r="24" customFormat="false" ht="13.5" hidden="false" customHeight="false" outlineLevel="0" collapsed="false">
      <c r="D24" s="21"/>
      <c r="E24" s="8"/>
      <c r="F24" s="9"/>
      <c r="G24" s="10"/>
      <c r="H24" s="10"/>
      <c r="I24" s="10"/>
      <c r="J24" s="9"/>
      <c r="K24" s="11"/>
      <c r="N24" s="1"/>
      <c r="O24" s="2"/>
      <c r="P24" s="3"/>
      <c r="Q24" s="4"/>
      <c r="R24" s="4"/>
      <c r="S24" s="4"/>
      <c r="T24" s="3"/>
      <c r="U24" s="12"/>
    </row>
    <row r="25" customFormat="false" ht="12.75" hidden="false" customHeight="false" outlineLevel="0" collapsed="false">
      <c r="D25" s="21"/>
      <c r="E25" s="8"/>
      <c r="F25" s="9"/>
      <c r="G25" s="10"/>
      <c r="H25" s="10"/>
      <c r="I25" s="10"/>
      <c r="J25" s="9"/>
      <c r="K25" s="11"/>
      <c r="N25" s="1"/>
      <c r="O25" s="2"/>
      <c r="P25" s="3"/>
      <c r="Q25" s="4"/>
      <c r="R25" s="4"/>
      <c r="S25" s="4"/>
      <c r="T25" s="3"/>
      <c r="U25" s="12"/>
    </row>
    <row r="26" customFormat="false" ht="13.5" hidden="false" customHeight="false" outlineLevel="0" collapsed="false">
      <c r="A26" s="1" t="s">
        <v>23</v>
      </c>
      <c r="D26" s="13" t="s">
        <v>24</v>
      </c>
      <c r="E26" s="14" t="n">
        <v>5906.390342</v>
      </c>
      <c r="F26" s="15" t="n">
        <f aca="false">100*G26/E26</f>
        <v>13.0264690352225</v>
      </c>
      <c r="G26" s="16" t="n">
        <v>769.394109</v>
      </c>
      <c r="H26" s="16" t="n">
        <v>264.987488</v>
      </c>
      <c r="I26" s="16" t="n">
        <f aca="false">G26+H26</f>
        <v>1034.381597</v>
      </c>
      <c r="J26" s="15" t="n">
        <f aca="false">I26/E26*100</f>
        <v>17.5129230732445</v>
      </c>
      <c r="K26" s="18" t="n">
        <f aca="false">(J26-F26)/F26</f>
        <v>0.344410601667344</v>
      </c>
      <c r="N26" s="1"/>
      <c r="O26" s="2"/>
      <c r="P26" s="3"/>
      <c r="Q26" s="4"/>
      <c r="R26" s="4"/>
      <c r="S26" s="4"/>
      <c r="T26" s="3"/>
      <c r="U26" s="12"/>
    </row>
    <row r="27" customFormat="false" ht="13.5" hidden="false" customHeight="false" outlineLevel="0" collapsed="false">
      <c r="D27" s="0"/>
      <c r="E27" s="8"/>
      <c r="F27" s="9"/>
      <c r="G27" s="10"/>
      <c r="H27" s="10"/>
      <c r="I27" s="10"/>
      <c r="J27" s="9"/>
      <c r="K27" s="11"/>
      <c r="N27" s="1"/>
      <c r="O27" s="2"/>
      <c r="P27" s="3"/>
      <c r="Q27" s="4"/>
      <c r="R27" s="4"/>
      <c r="S27" s="4"/>
      <c r="T27" s="3"/>
      <c r="U27" s="12"/>
    </row>
    <row r="28" customFormat="false" ht="12.75" hidden="false" customHeight="false" outlineLevel="0" collapsed="false">
      <c r="D28" s="7"/>
      <c r="E28" s="8"/>
      <c r="F28" s="9"/>
      <c r="G28" s="10"/>
      <c r="H28" s="10"/>
      <c r="I28" s="10"/>
      <c r="J28" s="9"/>
      <c r="K28" s="11"/>
      <c r="N28" s="1"/>
      <c r="O28" s="2"/>
      <c r="P28" s="3"/>
      <c r="Q28" s="4"/>
      <c r="R28" s="4"/>
      <c r="S28" s="4"/>
      <c r="T28" s="3"/>
      <c r="U28" s="12"/>
    </row>
    <row r="29" customFormat="false" ht="13.5" hidden="false" customHeight="false" outlineLevel="0" collapsed="false">
      <c r="A29" s="1" t="s">
        <v>23</v>
      </c>
      <c r="D29" s="13" t="s">
        <v>25</v>
      </c>
      <c r="E29" s="14" t="n">
        <v>1973.440548</v>
      </c>
      <c r="F29" s="15" t="n">
        <f aca="false">100*G29/E29</f>
        <v>9.9034728559758</v>
      </c>
      <c r="G29" s="16" t="n">
        <v>195.439149</v>
      </c>
      <c r="H29" s="16" t="n">
        <v>88.537503</v>
      </c>
      <c r="I29" s="16" t="n">
        <f aca="false">G29+H29</f>
        <v>283.976652</v>
      </c>
      <c r="J29" s="15" t="n">
        <f aca="false">I29/E29*100</f>
        <v>14.3899268862089</v>
      </c>
      <c r="K29" s="18" t="n">
        <f aca="false">(J29-F29)/F29</f>
        <v>0.453018258895509</v>
      </c>
      <c r="N29" s="1"/>
      <c r="O29" s="2"/>
      <c r="P29" s="3"/>
      <c r="Q29" s="4"/>
      <c r="R29" s="4"/>
      <c r="S29" s="4"/>
      <c r="T29" s="3"/>
      <c r="U29" s="12"/>
    </row>
    <row r="30" customFormat="false" ht="13.5" hidden="false" customHeight="false" outlineLevel="0" collapsed="false">
      <c r="D30" s="0"/>
      <c r="E30" s="8"/>
      <c r="F30" s="9"/>
      <c r="G30" s="10"/>
      <c r="H30" s="10"/>
      <c r="I30" s="10"/>
      <c r="J30" s="9"/>
      <c r="K30" s="11"/>
      <c r="N30" s="1"/>
      <c r="O30" s="2"/>
      <c r="P30" s="3"/>
      <c r="Q30" s="4"/>
      <c r="R30" s="4"/>
      <c r="S30" s="4"/>
      <c r="T30" s="3"/>
      <c r="U30" s="12"/>
    </row>
    <row r="31" customFormat="false" ht="12.75" hidden="false" customHeight="false" outlineLevel="0" collapsed="false">
      <c r="D31" s="7"/>
      <c r="E31" s="8"/>
      <c r="F31" s="9"/>
      <c r="G31" s="10"/>
      <c r="H31" s="10"/>
      <c r="I31" s="10"/>
      <c r="J31" s="9"/>
      <c r="K31" s="11"/>
      <c r="N31" s="1"/>
      <c r="O31" s="2"/>
      <c r="P31" s="3"/>
      <c r="Q31" s="4"/>
      <c r="R31" s="4"/>
      <c r="S31" s="4"/>
      <c r="T31" s="3"/>
      <c r="U31" s="12"/>
    </row>
    <row r="32" customFormat="false" ht="13.5" hidden="false" customHeight="false" outlineLevel="0" collapsed="false">
      <c r="A32" s="1" t="s">
        <v>23</v>
      </c>
      <c r="D32" s="13" t="s">
        <v>26</v>
      </c>
      <c r="E32" s="14" t="n">
        <v>1.323696</v>
      </c>
      <c r="F32" s="15" t="n">
        <f aca="false">100*G32/E32</f>
        <v>29.5573152748063</v>
      </c>
      <c r="G32" s="16" t="n">
        <v>0.391249</v>
      </c>
      <c r="H32" s="16" t="n">
        <v>0.059387</v>
      </c>
      <c r="I32" s="16" t="n">
        <f aca="false">G32+H32</f>
        <v>0.450636</v>
      </c>
      <c r="J32" s="15" t="n">
        <f aca="false">I32/E32*100</f>
        <v>34.0437683576894</v>
      </c>
      <c r="K32" s="18" t="n">
        <f aca="false">(J32-F32)/F32</f>
        <v>0.151788247382102</v>
      </c>
      <c r="N32" s="1"/>
      <c r="O32" s="2"/>
      <c r="P32" s="3"/>
      <c r="Q32" s="4"/>
      <c r="R32" s="4"/>
      <c r="S32" s="4"/>
      <c r="T32" s="3"/>
      <c r="U32" s="12"/>
    </row>
    <row r="33" customFormat="false" ht="13.5" hidden="false" customHeight="false" outlineLevel="0" collapsed="false">
      <c r="D33" s="7"/>
      <c r="E33" s="8"/>
      <c r="F33" s="9"/>
      <c r="G33" s="10"/>
      <c r="H33" s="10"/>
      <c r="I33" s="10"/>
      <c r="J33" s="9"/>
      <c r="K33" s="11"/>
      <c r="N33" s="1"/>
      <c r="O33" s="2"/>
      <c r="P33" s="3"/>
      <c r="Q33" s="4"/>
      <c r="R33" s="4"/>
      <c r="S33" s="4"/>
      <c r="T33" s="3"/>
      <c r="U33" s="12"/>
    </row>
    <row r="34" customFormat="false" ht="12.75" hidden="false" customHeight="false" outlineLevel="0" collapsed="false">
      <c r="D34" s="7"/>
      <c r="E34" s="8"/>
      <c r="F34" s="9"/>
      <c r="G34" s="10"/>
      <c r="H34" s="10"/>
      <c r="I34" s="10"/>
      <c r="J34" s="9"/>
      <c r="K34" s="11"/>
      <c r="N34" s="1"/>
      <c r="O34" s="2"/>
      <c r="P34" s="3"/>
      <c r="Q34" s="4"/>
      <c r="R34" s="4"/>
      <c r="S34" s="4"/>
      <c r="T34" s="3"/>
      <c r="U34" s="12"/>
    </row>
    <row r="35" customFormat="false" ht="13.5" hidden="false" customHeight="false" outlineLevel="0" collapsed="false">
      <c r="A35" s="1" t="s">
        <v>23</v>
      </c>
      <c r="D35" s="13" t="s">
        <v>27</v>
      </c>
      <c r="E35" s="14" t="n">
        <v>121.33413</v>
      </c>
      <c r="F35" s="15" t="n">
        <f aca="false">100*G35/E35</f>
        <v>12.0196798707833</v>
      </c>
      <c r="G35" s="16" t="n">
        <v>14.583974</v>
      </c>
      <c r="H35" s="16" t="n">
        <v>5.4436</v>
      </c>
      <c r="I35" s="16" t="n">
        <f aca="false">G35+H35</f>
        <v>20.027574</v>
      </c>
      <c r="J35" s="15" t="n">
        <f aca="false">I35/E35*100</f>
        <v>16.5061339295052</v>
      </c>
      <c r="K35" s="18" t="n">
        <f aca="false">(J35-F35)/F35</f>
        <v>0.37325903076898</v>
      </c>
      <c r="N35" s="1"/>
      <c r="O35" s="2"/>
      <c r="P35" s="3"/>
      <c r="Q35" s="4"/>
      <c r="R35" s="4"/>
      <c r="S35" s="4"/>
      <c r="T35" s="3"/>
      <c r="U35" s="12"/>
    </row>
    <row r="36" customFormat="false" ht="13.5" hidden="false" customHeight="false" outlineLevel="0" collapsed="false">
      <c r="D36" s="0"/>
      <c r="E36" s="8"/>
      <c r="F36" s="9"/>
      <c r="G36" s="10"/>
      <c r="H36" s="10"/>
      <c r="I36" s="10"/>
      <c r="J36" s="9"/>
      <c r="K36" s="11"/>
      <c r="N36" s="1"/>
      <c r="O36" s="2"/>
      <c r="P36" s="3"/>
      <c r="Q36" s="4"/>
      <c r="R36" s="4"/>
      <c r="S36" s="4"/>
      <c r="T36" s="3"/>
      <c r="U36" s="12"/>
    </row>
    <row r="37" customFormat="false" ht="12.75" hidden="false" customHeight="false" outlineLevel="0" collapsed="false">
      <c r="D37" s="7"/>
      <c r="E37" s="8"/>
      <c r="F37" s="9"/>
      <c r="G37" s="10"/>
      <c r="H37" s="10"/>
      <c r="I37" s="10"/>
      <c r="J37" s="9"/>
      <c r="K37" s="11"/>
      <c r="N37" s="1"/>
      <c r="O37" s="2"/>
      <c r="P37" s="3"/>
      <c r="Q37" s="4"/>
      <c r="R37" s="4"/>
      <c r="S37" s="4"/>
      <c r="T37" s="3"/>
      <c r="U37" s="12"/>
    </row>
    <row r="38" customFormat="false" ht="13.5" hidden="false" customHeight="false" outlineLevel="0" collapsed="false">
      <c r="A38" s="1" t="s">
        <v>23</v>
      </c>
      <c r="D38" s="13" t="s">
        <v>28</v>
      </c>
      <c r="E38" s="14" t="n">
        <v>90.647376</v>
      </c>
      <c r="F38" s="15" t="n">
        <f aca="false">100*G38/E38</f>
        <v>10.3560217782807</v>
      </c>
      <c r="G38" s="16" t="n">
        <v>9.387462</v>
      </c>
      <c r="H38" s="16" t="n">
        <v>4.066853</v>
      </c>
      <c r="I38" s="16" t="n">
        <f aca="false">G38+H38</f>
        <v>13.454315</v>
      </c>
      <c r="J38" s="15" t="n">
        <f aca="false">I38/E38*100</f>
        <v>14.8424759697402</v>
      </c>
      <c r="K38" s="18" t="n">
        <f aca="false">(J38-F38)/F38</f>
        <v>0.433221780285236</v>
      </c>
      <c r="N38" s="1"/>
      <c r="O38" s="2"/>
      <c r="P38" s="3"/>
      <c r="Q38" s="4"/>
      <c r="R38" s="4"/>
      <c r="S38" s="4"/>
      <c r="T38" s="3"/>
      <c r="U38" s="12"/>
    </row>
    <row r="39" customFormat="false" ht="13.5" hidden="false" customHeight="false" outlineLevel="0" collapsed="false">
      <c r="D39" s="0"/>
      <c r="E39" s="8"/>
      <c r="F39" s="9"/>
      <c r="G39" s="10"/>
      <c r="H39" s="10"/>
      <c r="I39" s="10"/>
      <c r="J39" s="9"/>
      <c r="K39" s="11"/>
      <c r="N39" s="1"/>
      <c r="O39" s="2"/>
      <c r="P39" s="3"/>
      <c r="Q39" s="4"/>
      <c r="R39" s="4"/>
      <c r="S39" s="4"/>
      <c r="T39" s="3"/>
      <c r="U39" s="12"/>
    </row>
    <row r="40" customFormat="false" ht="12.75" hidden="false" customHeight="false" outlineLevel="0" collapsed="false">
      <c r="D40" s="7"/>
      <c r="E40" s="8"/>
      <c r="F40" s="9"/>
      <c r="G40" s="10"/>
      <c r="H40" s="10"/>
      <c r="I40" s="10"/>
      <c r="J40" s="9"/>
      <c r="K40" s="11"/>
      <c r="N40" s="1"/>
      <c r="O40" s="2"/>
      <c r="P40" s="3"/>
      <c r="Q40" s="4"/>
      <c r="R40" s="4"/>
      <c r="S40" s="4"/>
      <c r="T40" s="3"/>
      <c r="U40" s="12"/>
    </row>
    <row r="41" customFormat="false" ht="13.5" hidden="false" customHeight="false" outlineLevel="0" collapsed="false">
      <c r="A41" s="1" t="s">
        <v>23</v>
      </c>
      <c r="D41" s="13" t="s">
        <v>29</v>
      </c>
      <c r="E41" s="14" t="n">
        <v>12859.851253</v>
      </c>
      <c r="F41" s="15" t="n">
        <f aca="false">100*G41/E41</f>
        <v>10.8960625005139</v>
      </c>
      <c r="G41" s="16" t="n">
        <v>1401.21743</v>
      </c>
      <c r="H41" s="16" t="n">
        <v>576.951316</v>
      </c>
      <c r="I41" s="16" t="n">
        <f aca="false">G41+H41</f>
        <v>1978.168746</v>
      </c>
      <c r="J41" s="15" t="n">
        <f aca="false">I41/E41*100</f>
        <v>15.3825165399057</v>
      </c>
      <c r="K41" s="18" t="n">
        <f aca="false">(J41-F41)/F41</f>
        <v>0.411750027973888</v>
      </c>
      <c r="N41" s="1"/>
      <c r="O41" s="2"/>
      <c r="P41" s="3"/>
      <c r="Q41" s="4"/>
      <c r="R41" s="4"/>
      <c r="S41" s="4"/>
      <c r="T41" s="3"/>
      <c r="U41" s="12"/>
    </row>
    <row r="42" customFormat="false" ht="13.5" hidden="false" customHeight="false" outlineLevel="0" collapsed="false">
      <c r="D42" s="0"/>
      <c r="E42" s="8"/>
      <c r="F42" s="9"/>
      <c r="G42" s="10"/>
      <c r="H42" s="10"/>
      <c r="I42" s="10"/>
      <c r="J42" s="9"/>
      <c r="K42" s="11"/>
      <c r="N42" s="1"/>
      <c r="O42" s="2"/>
      <c r="P42" s="3"/>
      <c r="Q42" s="4"/>
      <c r="R42" s="4"/>
      <c r="S42" s="4"/>
      <c r="T42" s="3"/>
      <c r="U42" s="12"/>
    </row>
    <row r="43" customFormat="false" ht="12.75" hidden="false" customHeight="false" outlineLevel="0" collapsed="false">
      <c r="D43" s="7"/>
      <c r="E43" s="8"/>
      <c r="F43" s="9"/>
      <c r="G43" s="10"/>
      <c r="H43" s="10"/>
      <c r="I43" s="10"/>
      <c r="J43" s="9"/>
      <c r="K43" s="11"/>
      <c r="N43" s="1"/>
      <c r="O43" s="2"/>
      <c r="P43" s="3"/>
      <c r="Q43" s="4"/>
      <c r="R43" s="4"/>
      <c r="S43" s="4"/>
      <c r="T43" s="3"/>
      <c r="U43" s="12"/>
    </row>
    <row r="44" customFormat="false" ht="13.5" hidden="false" customHeight="false" outlineLevel="0" collapsed="false">
      <c r="A44" s="1" t="s">
        <v>23</v>
      </c>
      <c r="D44" s="13" t="s">
        <v>30</v>
      </c>
      <c r="E44" s="14" t="n">
        <v>10.84827</v>
      </c>
      <c r="F44" s="15" t="n">
        <f aca="false">100*G44/E44</f>
        <v>9.4448884476511</v>
      </c>
      <c r="G44" s="16" t="n">
        <v>1.024607</v>
      </c>
      <c r="H44" s="16" t="n">
        <v>0.439792</v>
      </c>
      <c r="I44" s="16" t="n">
        <f aca="false">G44+H44</f>
        <v>1.464399</v>
      </c>
      <c r="J44" s="15" t="n">
        <f aca="false">I44/E44*100</f>
        <v>13.4989173388937</v>
      </c>
      <c r="K44" s="18" t="n">
        <f aca="false">(J44-F44)/F44</f>
        <v>0.429229938893644</v>
      </c>
      <c r="N44" s="1"/>
      <c r="O44" s="2"/>
      <c r="P44" s="3"/>
      <c r="Q44" s="4"/>
      <c r="R44" s="4"/>
      <c r="S44" s="4"/>
      <c r="T44" s="3"/>
      <c r="U44" s="12"/>
    </row>
    <row r="45" customFormat="false" ht="13.5" hidden="false" customHeight="false" outlineLevel="0" collapsed="false">
      <c r="D45" s="21"/>
      <c r="E45" s="8"/>
      <c r="F45" s="9"/>
      <c r="G45" s="10"/>
      <c r="H45" s="10"/>
      <c r="I45" s="10"/>
      <c r="J45" s="9"/>
      <c r="K45" s="11"/>
      <c r="N45" s="1"/>
      <c r="O45" s="2"/>
      <c r="P45" s="3"/>
      <c r="Q45" s="4"/>
      <c r="R45" s="4"/>
      <c r="S45" s="4"/>
      <c r="T45" s="3"/>
      <c r="U45" s="12"/>
    </row>
    <row r="46" customFormat="false" ht="12.75" hidden="false" customHeight="false" outlineLevel="0" collapsed="false">
      <c r="D46" s="0"/>
      <c r="E46" s="8"/>
      <c r="F46" s="9"/>
      <c r="G46" s="10"/>
      <c r="H46" s="10"/>
      <c r="I46" s="10"/>
      <c r="J46" s="9"/>
      <c r="K46" s="11"/>
      <c r="N46" s="1"/>
      <c r="O46" s="2"/>
      <c r="P46" s="3"/>
      <c r="Q46" s="4"/>
      <c r="R46" s="4"/>
      <c r="S46" s="4"/>
      <c r="T46" s="3"/>
      <c r="U46" s="12"/>
    </row>
    <row r="47" customFormat="false" ht="13.5" hidden="false" customHeight="false" outlineLevel="0" collapsed="false">
      <c r="A47" s="1" t="s">
        <v>23</v>
      </c>
      <c r="D47" s="13" t="s">
        <v>31</v>
      </c>
      <c r="E47" s="22" t="n">
        <v>783.953305</v>
      </c>
      <c r="F47" s="23" t="n">
        <f aca="false">100*G47/E47</f>
        <v>8.72427280601872</v>
      </c>
      <c r="G47" s="24" t="n">
        <v>68.394225</v>
      </c>
      <c r="H47" s="24" t="n">
        <v>31.781687</v>
      </c>
      <c r="I47" s="16" t="n">
        <f aca="false">G47+H47</f>
        <v>100.175912</v>
      </c>
      <c r="J47" s="23" t="n">
        <f aca="false">I47/E47*100</f>
        <v>12.7783008708663</v>
      </c>
      <c r="K47" s="25" t="n">
        <f aca="false">(J47-F47)/F47</f>
        <v>0.464683779953644</v>
      </c>
      <c r="N47" s="1"/>
      <c r="O47" s="2"/>
      <c r="P47" s="3"/>
      <c r="Q47" s="4"/>
      <c r="R47" s="4"/>
      <c r="S47" s="4"/>
      <c r="T47" s="3"/>
      <c r="U47" s="12"/>
    </row>
    <row r="48" customFormat="false" ht="13.5" hidden="false" customHeight="false" outlineLevel="0" collapsed="false">
      <c r="D48" s="0"/>
      <c r="E48" s="8"/>
      <c r="F48" s="9"/>
      <c r="G48" s="10"/>
      <c r="H48" s="10"/>
      <c r="I48" s="10"/>
      <c r="J48" s="9"/>
      <c r="K48" s="11"/>
      <c r="N48" s="1"/>
      <c r="O48" s="2"/>
      <c r="P48" s="3"/>
      <c r="Q48" s="4"/>
      <c r="R48" s="4"/>
      <c r="S48" s="4"/>
      <c r="T48" s="3"/>
      <c r="U48" s="12"/>
    </row>
    <row r="49" customFormat="false" ht="12.75" hidden="false" customHeight="false" outlineLevel="0" collapsed="false">
      <c r="E49" s="8"/>
      <c r="F49" s="9"/>
      <c r="G49" s="10"/>
      <c r="H49" s="10"/>
      <c r="I49" s="10"/>
      <c r="J49" s="9"/>
      <c r="K49" s="11"/>
      <c r="N49" s="1"/>
      <c r="O49" s="2"/>
      <c r="P49" s="3"/>
      <c r="Q49" s="4"/>
      <c r="R49" s="4"/>
      <c r="S49" s="4"/>
      <c r="T49" s="3"/>
      <c r="U49" s="12"/>
    </row>
    <row r="50" customFormat="false" ht="13.5" hidden="false" customHeight="false" outlineLevel="0" collapsed="false">
      <c r="A50" s="1" t="s">
        <v>23</v>
      </c>
      <c r="D50" s="13" t="s">
        <v>32</v>
      </c>
      <c r="E50" s="14" t="n">
        <v>10174.449648</v>
      </c>
      <c r="F50" s="15" t="n">
        <f aca="false">100*G50/E50</f>
        <v>9.80449244442514</v>
      </c>
      <c r="G50" s="16" t="n">
        <v>997.553147</v>
      </c>
      <c r="H50" s="16" t="n">
        <v>412.475041</v>
      </c>
      <c r="I50" s="16" t="n">
        <f aca="false">G50+H50</f>
        <v>1410.028188</v>
      </c>
      <c r="J50" s="15" t="n">
        <f aca="false">I50/E50*100</f>
        <v>13.8585204780798</v>
      </c>
      <c r="K50" s="18" t="n">
        <f aca="false">(J50-F50)/F50</f>
        <v>0.413486782373912</v>
      </c>
      <c r="N50" s="1"/>
      <c r="O50" s="2"/>
      <c r="P50" s="3"/>
      <c r="Q50" s="4"/>
      <c r="R50" s="4"/>
      <c r="S50" s="4"/>
      <c r="T50" s="3"/>
      <c r="U50" s="12"/>
    </row>
    <row r="51" customFormat="false" ht="13.5" hidden="false" customHeight="false" outlineLevel="0" collapsed="false">
      <c r="D51" s="0"/>
      <c r="E51" s="8"/>
      <c r="F51" s="9"/>
      <c r="G51" s="10"/>
      <c r="H51" s="10"/>
      <c r="I51" s="10"/>
      <c r="J51" s="9"/>
      <c r="K51" s="11"/>
      <c r="N51" s="1"/>
      <c r="O51" s="2"/>
      <c r="P51" s="3"/>
      <c r="Q51" s="4"/>
      <c r="R51" s="4"/>
      <c r="S51" s="4"/>
      <c r="T51" s="3"/>
      <c r="U51" s="12"/>
    </row>
    <row r="52" customFormat="false" ht="12.75" hidden="false" customHeight="false" outlineLevel="0" collapsed="false">
      <c r="E52" s="8"/>
      <c r="F52" s="9"/>
      <c r="G52" s="10"/>
      <c r="H52" s="10"/>
      <c r="I52" s="10"/>
      <c r="J52" s="9"/>
      <c r="K52" s="11"/>
      <c r="N52" s="1"/>
      <c r="O52" s="2"/>
      <c r="P52" s="3"/>
      <c r="Q52" s="4"/>
      <c r="R52" s="4"/>
      <c r="S52" s="4"/>
      <c r="T52" s="3"/>
      <c r="U52" s="12"/>
    </row>
    <row r="53" customFormat="false" ht="13.5" hidden="false" customHeight="false" outlineLevel="0" collapsed="false">
      <c r="A53" s="1" t="s">
        <v>33</v>
      </c>
      <c r="D53" s="13" t="s">
        <v>34</v>
      </c>
      <c r="E53" s="14" t="n">
        <v>7042.130736</v>
      </c>
      <c r="F53" s="15" t="n">
        <f aca="false">100*G53/E53</f>
        <v>5.69555070810602</v>
      </c>
      <c r="G53" s="16" t="n">
        <v>401.088127</v>
      </c>
      <c r="H53" s="16" t="n">
        <v>285.489954</v>
      </c>
      <c r="I53" s="16" t="n">
        <f aca="false">G53+H53</f>
        <v>686.578081</v>
      </c>
      <c r="J53" s="15" t="n">
        <f aca="false">I53/E53*100</f>
        <v>9.74957873886311</v>
      </c>
      <c r="K53" s="18" t="n">
        <f aca="false">(J53-F53)/F53</f>
        <v>0.711788594031356</v>
      </c>
      <c r="N53" s="1"/>
      <c r="O53" s="2"/>
      <c r="P53" s="3"/>
      <c r="Q53" s="4"/>
      <c r="R53" s="4"/>
      <c r="S53" s="4"/>
      <c r="T53" s="3"/>
      <c r="U53" s="12"/>
    </row>
    <row r="54" customFormat="false" ht="13.5" hidden="false" customHeight="false" outlineLevel="0" collapsed="false">
      <c r="D54" s="0"/>
      <c r="E54" s="8"/>
      <c r="F54" s="9"/>
      <c r="G54" s="10"/>
      <c r="H54" s="10"/>
      <c r="I54" s="10"/>
      <c r="J54" s="9"/>
      <c r="K54" s="11"/>
      <c r="N54" s="1"/>
      <c r="O54" s="2"/>
      <c r="P54" s="3"/>
      <c r="Q54" s="4"/>
      <c r="R54" s="4"/>
      <c r="S54" s="4"/>
      <c r="T54" s="3"/>
      <c r="U54" s="12"/>
    </row>
    <row r="55" customFormat="false" ht="12.75" hidden="false" customHeight="false" outlineLevel="0" collapsed="false">
      <c r="D55" s="26"/>
      <c r="E55" s="8"/>
      <c r="F55" s="9"/>
      <c r="G55" s="10"/>
      <c r="H55" s="10"/>
      <c r="I55" s="10"/>
      <c r="J55" s="9"/>
      <c r="K55" s="11"/>
      <c r="N55" s="1"/>
      <c r="O55" s="2"/>
      <c r="P55" s="3"/>
      <c r="Q55" s="4"/>
      <c r="R55" s="4"/>
      <c r="S55" s="4"/>
      <c r="T55" s="3"/>
      <c r="U55" s="12"/>
    </row>
    <row r="56" customFormat="false" ht="13.5" hidden="false" customHeight="false" outlineLevel="0" collapsed="false">
      <c r="A56" s="1" t="s">
        <v>33</v>
      </c>
      <c r="D56" s="13" t="s">
        <v>35</v>
      </c>
      <c r="E56" s="14" t="n">
        <v>6260.946172</v>
      </c>
      <c r="F56" s="15" t="n">
        <f aca="false">100*G56/E56</f>
        <v>7.78745382256259</v>
      </c>
      <c r="G56" s="16" t="n">
        <v>487.568292</v>
      </c>
      <c r="H56" s="16" t="n">
        <v>253.820513</v>
      </c>
      <c r="I56" s="16" t="n">
        <f aca="false">G56+H56</f>
        <v>741.388805</v>
      </c>
      <c r="J56" s="15" t="n">
        <f aca="false">I56/E56*100</f>
        <v>11.8414818564583</v>
      </c>
      <c r="K56" s="18" t="n">
        <f aca="false">(J56-F56)/F56</f>
        <v>0.520584535878719</v>
      </c>
      <c r="N56" s="1"/>
      <c r="O56" s="2"/>
      <c r="P56" s="3"/>
      <c r="Q56" s="4"/>
      <c r="R56" s="4"/>
      <c r="S56" s="4"/>
      <c r="T56" s="3"/>
      <c r="U56" s="12"/>
    </row>
    <row r="57" customFormat="false" ht="13.5" hidden="false" customHeight="false" outlineLevel="0" collapsed="false">
      <c r="D57" s="0"/>
      <c r="E57" s="8"/>
      <c r="F57" s="9"/>
      <c r="G57" s="10"/>
      <c r="H57" s="10"/>
      <c r="I57" s="10"/>
      <c r="J57" s="9"/>
      <c r="K57" s="11"/>
      <c r="N57" s="1"/>
      <c r="O57" s="2"/>
      <c r="P57" s="3"/>
      <c r="Q57" s="4"/>
      <c r="R57" s="4"/>
      <c r="S57" s="4"/>
      <c r="T57" s="3"/>
      <c r="U57" s="12"/>
    </row>
    <row r="58" customFormat="false" ht="12.75" hidden="false" customHeight="false" outlineLevel="0" collapsed="false">
      <c r="D58" s="7"/>
      <c r="E58" s="8"/>
      <c r="F58" s="9"/>
      <c r="G58" s="10"/>
      <c r="H58" s="10"/>
      <c r="I58" s="10"/>
      <c r="J58" s="9"/>
      <c r="K58" s="11"/>
      <c r="N58" s="1"/>
      <c r="O58" s="2"/>
      <c r="P58" s="3"/>
      <c r="Q58" s="4"/>
      <c r="R58" s="4"/>
      <c r="S58" s="4"/>
      <c r="T58" s="3"/>
      <c r="U58" s="12"/>
    </row>
    <row r="59" customFormat="false" ht="13.5" hidden="false" customHeight="false" outlineLevel="0" collapsed="false">
      <c r="A59" s="1" t="s">
        <v>33</v>
      </c>
      <c r="D59" s="13" t="s">
        <v>36</v>
      </c>
      <c r="E59" s="14" t="n">
        <v>3187.593124</v>
      </c>
      <c r="F59" s="15" t="n">
        <f aca="false">100*G59/E59</f>
        <v>9.2442404829331</v>
      </c>
      <c r="G59" s="16" t="n">
        <v>294.668774</v>
      </c>
      <c r="H59" s="16" t="n">
        <v>129.225919</v>
      </c>
      <c r="I59" s="16" t="n">
        <f aca="false">G59+H59</f>
        <v>423.894693</v>
      </c>
      <c r="J59" s="15" t="n">
        <f aca="false">I59/E59*100</f>
        <v>13.298268521425</v>
      </c>
      <c r="K59" s="18" t="n">
        <f aca="false">(J59-F59)/F59</f>
        <v>0.438546362567755</v>
      </c>
      <c r="N59" s="1"/>
      <c r="O59" s="2"/>
      <c r="P59" s="3"/>
      <c r="Q59" s="4"/>
      <c r="R59" s="4"/>
      <c r="S59" s="4"/>
      <c r="T59" s="3"/>
      <c r="U59" s="12"/>
    </row>
    <row r="60" customFormat="false" ht="13.5" hidden="false" customHeight="false" outlineLevel="0" collapsed="false">
      <c r="D60" s="0"/>
      <c r="E60" s="8"/>
      <c r="F60" s="9"/>
      <c r="G60" s="10"/>
      <c r="H60" s="10"/>
      <c r="I60" s="10"/>
      <c r="J60" s="9"/>
      <c r="K60" s="11"/>
      <c r="N60" s="1"/>
      <c r="O60" s="2"/>
      <c r="P60" s="3"/>
      <c r="Q60" s="4"/>
      <c r="R60" s="4"/>
      <c r="S60" s="4"/>
      <c r="T60" s="3"/>
      <c r="U60" s="12"/>
    </row>
    <row r="61" customFormat="false" ht="12.75" hidden="false" customHeight="false" outlineLevel="0" collapsed="false">
      <c r="D61" s="7"/>
      <c r="E61" s="8"/>
      <c r="F61" s="9"/>
      <c r="G61" s="10"/>
      <c r="H61" s="10"/>
      <c r="I61" s="10"/>
      <c r="J61" s="9"/>
      <c r="K61" s="11"/>
      <c r="N61" s="1"/>
      <c r="O61" s="2"/>
      <c r="P61" s="3"/>
      <c r="Q61" s="4"/>
      <c r="R61" s="4"/>
      <c r="S61" s="4"/>
      <c r="T61" s="3"/>
      <c r="U61" s="12"/>
    </row>
    <row r="62" customFormat="false" ht="13.5" hidden="false" customHeight="false" outlineLevel="0" collapsed="false">
      <c r="A62" s="1" t="s">
        <v>37</v>
      </c>
      <c r="D62" s="13" t="s">
        <v>38</v>
      </c>
      <c r="E62" s="14" t="n">
        <v>129.286012</v>
      </c>
      <c r="F62" s="15" t="n">
        <f aca="false">100*G62/E62</f>
        <v>10.2428613854993</v>
      </c>
      <c r="G62" s="16" t="n">
        <v>13.242587</v>
      </c>
      <c r="H62" s="16" t="n">
        <v>5.241291</v>
      </c>
      <c r="I62" s="16" t="n">
        <f aca="false">G62+H62</f>
        <v>18.483878</v>
      </c>
      <c r="J62" s="15" t="n">
        <f aca="false">I62/E62*100</f>
        <v>14.2968892876052</v>
      </c>
      <c r="K62" s="18" t="n">
        <f aca="false">(J62-F62)/F62</f>
        <v>0.395790565695359</v>
      </c>
      <c r="N62" s="1"/>
      <c r="O62" s="2"/>
      <c r="P62" s="3"/>
      <c r="Q62" s="4"/>
      <c r="R62" s="4"/>
      <c r="S62" s="4"/>
      <c r="T62" s="3"/>
      <c r="U62" s="12"/>
    </row>
    <row r="63" customFormat="false" ht="13.5" hidden="false" customHeight="false" outlineLevel="0" collapsed="false">
      <c r="D63" s="0"/>
      <c r="E63" s="8"/>
      <c r="F63" s="9"/>
      <c r="G63" s="10"/>
      <c r="H63" s="10"/>
      <c r="I63" s="10"/>
      <c r="J63" s="9"/>
      <c r="K63" s="11"/>
      <c r="N63" s="1"/>
      <c r="O63" s="2"/>
      <c r="P63" s="3"/>
      <c r="Q63" s="4"/>
      <c r="R63" s="4"/>
      <c r="S63" s="4"/>
      <c r="T63" s="3"/>
      <c r="U63" s="12"/>
    </row>
    <row r="64" customFormat="false" ht="12.75" hidden="false" customHeight="false" outlineLevel="0" collapsed="false">
      <c r="D64" s="26"/>
      <c r="E64" s="8"/>
      <c r="F64" s="9"/>
      <c r="G64" s="10"/>
      <c r="H64" s="10"/>
      <c r="I64" s="10"/>
      <c r="J64" s="9"/>
      <c r="K64" s="11"/>
      <c r="N64" s="1"/>
      <c r="O64" s="2"/>
      <c r="P64" s="3"/>
      <c r="Q64" s="4"/>
      <c r="R64" s="4"/>
      <c r="S64" s="4"/>
      <c r="T64" s="3"/>
      <c r="U64" s="12"/>
    </row>
    <row r="65" customFormat="false" ht="13.5" hidden="false" customHeight="false" outlineLevel="0" collapsed="false">
      <c r="A65" s="1" t="s">
        <v>37</v>
      </c>
      <c r="D65" s="13" t="s">
        <v>39</v>
      </c>
      <c r="E65" s="14" t="n">
        <v>29.728443</v>
      </c>
      <c r="F65" s="15" t="n">
        <f aca="false">100*G65/E65</f>
        <v>14.551343977214</v>
      </c>
      <c r="G65" s="16" t="n">
        <v>4.325888</v>
      </c>
      <c r="H65" s="16" t="n">
        <v>1.205199</v>
      </c>
      <c r="I65" s="16" t="n">
        <f aca="false">G65+H65</f>
        <v>5.531087</v>
      </c>
      <c r="J65" s="15" t="n">
        <f aca="false">I65/E65*100</f>
        <v>18.6053706209908</v>
      </c>
      <c r="K65" s="18" t="n">
        <f aca="false">(J65-F65)/F65</f>
        <v>0.27860152643804</v>
      </c>
      <c r="N65" s="1"/>
      <c r="O65" s="2"/>
      <c r="P65" s="3"/>
      <c r="Q65" s="4"/>
      <c r="R65" s="4"/>
      <c r="S65" s="4"/>
      <c r="T65" s="3"/>
      <c r="U65" s="12"/>
    </row>
    <row r="66" customFormat="false" ht="13.5" hidden="false" customHeight="false" outlineLevel="0" collapsed="false">
      <c r="D66" s="0"/>
      <c r="E66" s="8"/>
      <c r="F66" s="9"/>
      <c r="G66" s="10"/>
      <c r="H66" s="10"/>
      <c r="I66" s="10"/>
      <c r="J66" s="9"/>
      <c r="K66" s="11"/>
      <c r="N66" s="1"/>
      <c r="O66" s="2"/>
      <c r="P66" s="3"/>
      <c r="Q66" s="4"/>
      <c r="R66" s="4"/>
      <c r="S66" s="4"/>
      <c r="T66" s="3"/>
      <c r="U66" s="12"/>
    </row>
    <row r="67" customFormat="false" ht="12.75" hidden="false" customHeight="false" outlineLevel="0" collapsed="false">
      <c r="D67" s="7"/>
      <c r="E67" s="8"/>
      <c r="F67" s="9"/>
      <c r="G67" s="10"/>
      <c r="H67" s="10"/>
      <c r="I67" s="10"/>
      <c r="J67" s="9"/>
      <c r="K67" s="11"/>
      <c r="N67" s="1"/>
      <c r="O67" s="2"/>
      <c r="P67" s="3"/>
      <c r="Q67" s="4"/>
      <c r="R67" s="4"/>
      <c r="S67" s="4"/>
      <c r="T67" s="3"/>
      <c r="U67" s="12"/>
    </row>
    <row r="68" customFormat="false" ht="13.5" hidden="false" customHeight="false" outlineLevel="0" collapsed="false">
      <c r="A68" s="1" t="s">
        <v>37</v>
      </c>
      <c r="D68" s="13" t="s">
        <v>40</v>
      </c>
      <c r="E68" s="14" t="n">
        <v>7.352085</v>
      </c>
      <c r="F68" s="15" t="n">
        <f aca="false">100*G68/E68</f>
        <v>11.9852803660458</v>
      </c>
      <c r="G68" s="16" t="n">
        <v>0.881168</v>
      </c>
      <c r="H68" s="16" t="n">
        <v>0.298056</v>
      </c>
      <c r="I68" s="16" t="n">
        <f aca="false">G68+H68</f>
        <v>1.179224</v>
      </c>
      <c r="J68" s="15" t="n">
        <f aca="false">I68/E68*100</f>
        <v>16.0393140177242</v>
      </c>
      <c r="K68" s="18" t="n">
        <f aca="false">(J68-F68)/F68</f>
        <v>0.338251048608211</v>
      </c>
      <c r="N68" s="1"/>
      <c r="O68" s="2"/>
      <c r="P68" s="3"/>
      <c r="Q68" s="4"/>
      <c r="R68" s="4"/>
      <c r="S68" s="4"/>
      <c r="T68" s="3"/>
      <c r="U68" s="12"/>
    </row>
    <row r="69" customFormat="false" ht="13.5" hidden="false" customHeight="false" outlineLevel="0" collapsed="false">
      <c r="D69" s="0"/>
      <c r="E69" s="8"/>
      <c r="F69" s="9"/>
      <c r="G69" s="10"/>
      <c r="H69" s="10"/>
      <c r="I69" s="10"/>
      <c r="J69" s="9"/>
      <c r="K69" s="11"/>
      <c r="N69" s="1"/>
      <c r="O69" s="2"/>
      <c r="P69" s="3"/>
      <c r="Q69" s="4"/>
      <c r="R69" s="4"/>
      <c r="S69" s="4"/>
      <c r="T69" s="3"/>
      <c r="U69" s="12"/>
    </row>
    <row r="70" customFormat="false" ht="12.75" hidden="false" customHeight="false" outlineLevel="0" collapsed="false">
      <c r="D70" s="7"/>
      <c r="E70" s="8"/>
      <c r="F70" s="9"/>
      <c r="G70" s="10"/>
      <c r="H70" s="10"/>
      <c r="I70" s="10"/>
      <c r="J70" s="9"/>
      <c r="K70" s="11"/>
      <c r="N70" s="1"/>
      <c r="O70" s="2"/>
      <c r="P70" s="3"/>
      <c r="Q70" s="4"/>
      <c r="R70" s="4"/>
      <c r="S70" s="4"/>
      <c r="T70" s="3"/>
      <c r="U70" s="12"/>
    </row>
    <row r="71" customFormat="false" ht="13.5" hidden="false" customHeight="false" outlineLevel="0" collapsed="false">
      <c r="A71" s="1" t="s">
        <v>37</v>
      </c>
      <c r="D71" s="13" t="s">
        <v>41</v>
      </c>
      <c r="E71" s="14" t="n">
        <v>351.291855</v>
      </c>
      <c r="F71" s="15" t="n">
        <f aca="false">100*G71/E71</f>
        <v>13.231842508845</v>
      </c>
      <c r="G71" s="16" t="n">
        <v>46.482385</v>
      </c>
      <c r="H71" s="16" t="n">
        <v>15.760548</v>
      </c>
      <c r="I71" s="16" t="n">
        <f aca="false">G71+H71</f>
        <v>62.242933</v>
      </c>
      <c r="J71" s="15" t="n">
        <f aca="false">I71/E71*100</f>
        <v>17.7182966567785</v>
      </c>
      <c r="K71" s="18" t="n">
        <f aca="false">(J71-F71)/F71</f>
        <v>0.339064959769169</v>
      </c>
      <c r="N71" s="1"/>
      <c r="O71" s="2"/>
      <c r="P71" s="3"/>
      <c r="Q71" s="4"/>
      <c r="R71" s="4"/>
      <c r="S71" s="4"/>
      <c r="T71" s="3"/>
      <c r="U71" s="12"/>
    </row>
    <row r="72" customFormat="false" ht="13.5" hidden="false" customHeight="false" outlineLevel="0" collapsed="false">
      <c r="D72" s="0"/>
      <c r="E72" s="8"/>
      <c r="F72" s="9"/>
      <c r="G72" s="10"/>
      <c r="H72" s="10"/>
      <c r="I72" s="10"/>
      <c r="J72" s="9"/>
      <c r="K72" s="11"/>
      <c r="N72" s="1"/>
      <c r="O72" s="2"/>
      <c r="P72" s="3"/>
      <c r="Q72" s="4"/>
      <c r="R72" s="4"/>
      <c r="S72" s="4"/>
      <c r="T72" s="3"/>
      <c r="U72" s="12"/>
    </row>
    <row r="73" customFormat="false" ht="12.75" hidden="false" customHeight="false" outlineLevel="0" collapsed="false">
      <c r="D73" s="7"/>
      <c r="E73" s="8"/>
      <c r="F73" s="9"/>
      <c r="G73" s="10"/>
      <c r="H73" s="10"/>
      <c r="I73" s="10"/>
      <c r="J73" s="9"/>
      <c r="K73" s="11"/>
      <c r="N73" s="1"/>
      <c r="O73" s="2"/>
      <c r="P73" s="3"/>
      <c r="Q73" s="4"/>
      <c r="R73" s="4"/>
      <c r="S73" s="4"/>
      <c r="T73" s="3"/>
      <c r="U73" s="12"/>
    </row>
    <row r="74" customFormat="false" ht="13.5" hidden="false" customHeight="false" outlineLevel="0" collapsed="false">
      <c r="A74" s="1" t="s">
        <v>42</v>
      </c>
      <c r="D74" s="13" t="s">
        <v>43</v>
      </c>
      <c r="E74" s="14" t="n">
        <v>179.726421</v>
      </c>
      <c r="F74" s="15" t="n">
        <f aca="false">100*G74/E74</f>
        <v>22.0825773857701</v>
      </c>
      <c r="G74" s="16" t="n">
        <v>39.688226</v>
      </c>
      <c r="H74" s="16" t="n">
        <v>5.953234</v>
      </c>
      <c r="I74" s="16" t="n">
        <f aca="false">G74+H74</f>
        <v>45.64146</v>
      </c>
      <c r="J74" s="15" t="n">
        <f aca="false">I74/E74*100</f>
        <v>25.3949640492758</v>
      </c>
      <c r="K74" s="18" t="n">
        <f aca="false">(J74-F74)/F74</f>
        <v>0.150000002519639</v>
      </c>
      <c r="N74" s="1"/>
      <c r="O74" s="2"/>
      <c r="P74" s="3"/>
      <c r="Q74" s="4"/>
      <c r="R74" s="4"/>
      <c r="S74" s="4"/>
      <c r="T74" s="3"/>
      <c r="U74" s="12"/>
    </row>
    <row r="75" customFormat="false" ht="13.5" hidden="false" customHeight="false" outlineLevel="0" collapsed="false">
      <c r="D75" s="0"/>
      <c r="E75" s="8"/>
      <c r="F75" s="9"/>
      <c r="G75" s="10"/>
      <c r="H75" s="10"/>
      <c r="I75" s="10"/>
      <c r="J75" s="9"/>
      <c r="K75" s="11"/>
      <c r="N75" s="1"/>
      <c r="O75" s="2"/>
      <c r="P75" s="3"/>
      <c r="Q75" s="4"/>
      <c r="R75" s="4"/>
      <c r="S75" s="4"/>
      <c r="T75" s="3"/>
      <c r="U75" s="12"/>
    </row>
    <row r="76" customFormat="false" ht="12.75" hidden="false" customHeight="false" outlineLevel="0" collapsed="false">
      <c r="D76" s="7"/>
      <c r="E76" s="8"/>
      <c r="F76" s="9"/>
      <c r="G76" s="10"/>
      <c r="H76" s="10"/>
      <c r="I76" s="10"/>
      <c r="J76" s="9"/>
      <c r="K76" s="11"/>
      <c r="N76" s="1"/>
      <c r="O76" s="2"/>
      <c r="P76" s="3"/>
      <c r="Q76" s="4"/>
      <c r="R76" s="4"/>
      <c r="S76" s="4"/>
      <c r="T76" s="3"/>
      <c r="U76" s="12"/>
    </row>
    <row r="77" customFormat="false" ht="13.5" hidden="false" customHeight="false" outlineLevel="0" collapsed="false">
      <c r="A77" s="1" t="s">
        <v>42</v>
      </c>
      <c r="D77" s="13" t="s">
        <v>44</v>
      </c>
      <c r="E77" s="14" t="n">
        <v>248.92628</v>
      </c>
      <c r="F77" s="15" t="n">
        <f aca="false">100*G77/E77</f>
        <v>17.2452237666509</v>
      </c>
      <c r="G77" s="16" t="n">
        <v>42.927894</v>
      </c>
      <c r="H77" s="16" t="n">
        <v>6.439184</v>
      </c>
      <c r="I77" s="16" t="n">
        <f aca="false">G77+H77</f>
        <v>49.367078</v>
      </c>
      <c r="J77" s="15" t="n">
        <f aca="false">I77/E77*100</f>
        <v>19.832007291476</v>
      </c>
      <c r="K77" s="18" t="n">
        <f aca="false">(J77-F77)/F77</f>
        <v>0.149999997670512</v>
      </c>
      <c r="N77" s="1"/>
      <c r="O77" s="2"/>
      <c r="P77" s="3"/>
      <c r="Q77" s="4"/>
      <c r="R77" s="4"/>
      <c r="S77" s="4"/>
      <c r="T77" s="3"/>
      <c r="U77" s="12"/>
    </row>
    <row r="78" customFormat="false" ht="13.5" hidden="false" customHeight="false" outlineLevel="0" collapsed="false">
      <c r="D78" s="0"/>
      <c r="E78" s="8"/>
      <c r="F78" s="9"/>
      <c r="G78" s="10"/>
      <c r="H78" s="10"/>
      <c r="I78" s="10"/>
      <c r="J78" s="9"/>
      <c r="K78" s="11"/>
      <c r="N78" s="1"/>
      <c r="O78" s="2"/>
      <c r="P78" s="3"/>
      <c r="Q78" s="4"/>
      <c r="R78" s="4"/>
      <c r="S78" s="4"/>
      <c r="T78" s="3"/>
      <c r="U78" s="12"/>
    </row>
    <row r="79" customFormat="false" ht="12.75" hidden="false" customHeight="false" outlineLevel="0" collapsed="false">
      <c r="D79" s="7"/>
      <c r="E79" s="8"/>
      <c r="F79" s="9"/>
      <c r="G79" s="10"/>
      <c r="H79" s="10"/>
      <c r="I79" s="10"/>
      <c r="J79" s="9"/>
      <c r="K79" s="11"/>
      <c r="N79" s="1"/>
      <c r="O79" s="2"/>
      <c r="P79" s="3"/>
      <c r="Q79" s="4"/>
      <c r="R79" s="4"/>
      <c r="S79" s="4"/>
      <c r="T79" s="3"/>
      <c r="U79" s="12"/>
    </row>
    <row r="80" customFormat="false" ht="13.5" hidden="false" customHeight="false" outlineLevel="0" collapsed="false">
      <c r="A80" s="1" t="s">
        <v>42</v>
      </c>
      <c r="D80" s="13" t="s">
        <v>45</v>
      </c>
      <c r="E80" s="14" t="n">
        <v>28.756666</v>
      </c>
      <c r="F80" s="15" t="n">
        <f aca="false">100*G80/E80</f>
        <v>16.025174823813</v>
      </c>
      <c r="G80" s="16" t="n">
        <v>4.608306</v>
      </c>
      <c r="H80" s="16" t="n">
        <v>0.921661</v>
      </c>
      <c r="I80" s="16" t="n">
        <f aca="false">G80+H80</f>
        <v>5.529967</v>
      </c>
      <c r="J80" s="15" t="n">
        <f aca="false">I80/E80*100</f>
        <v>19.2302090930847</v>
      </c>
      <c r="K80" s="18" t="n">
        <f aca="false">(J80-F80)/F80</f>
        <v>0.199999956600104</v>
      </c>
      <c r="N80" s="1"/>
      <c r="O80" s="2"/>
      <c r="P80" s="3"/>
      <c r="Q80" s="4"/>
      <c r="R80" s="4"/>
      <c r="S80" s="4"/>
      <c r="T80" s="3"/>
      <c r="U80" s="12"/>
    </row>
    <row r="81" customFormat="false" ht="13.5" hidden="false" customHeight="false" outlineLevel="0" collapsed="false">
      <c r="D81" s="0"/>
      <c r="E81" s="8"/>
      <c r="F81" s="9"/>
      <c r="G81" s="10"/>
      <c r="H81" s="10"/>
      <c r="I81" s="10"/>
      <c r="J81" s="9"/>
      <c r="K81" s="11"/>
      <c r="N81" s="1"/>
      <c r="O81" s="2"/>
      <c r="P81" s="3"/>
      <c r="Q81" s="4"/>
      <c r="R81" s="4"/>
      <c r="S81" s="4"/>
      <c r="T81" s="3"/>
      <c r="U81" s="12"/>
    </row>
    <row r="82" customFormat="false" ht="12.75" hidden="false" customHeight="false" outlineLevel="0" collapsed="false">
      <c r="D82" s="7"/>
      <c r="E82" s="8"/>
      <c r="F82" s="9"/>
      <c r="G82" s="10"/>
      <c r="H82" s="10"/>
      <c r="I82" s="10"/>
      <c r="J82" s="9"/>
      <c r="K82" s="11"/>
      <c r="N82" s="1"/>
      <c r="O82" s="2"/>
      <c r="P82" s="3"/>
      <c r="Q82" s="4"/>
      <c r="R82" s="4"/>
      <c r="S82" s="4"/>
      <c r="T82" s="3"/>
      <c r="U82" s="12"/>
    </row>
    <row r="83" customFormat="false" ht="13.5" hidden="false" customHeight="false" outlineLevel="0" collapsed="false">
      <c r="A83" s="1" t="s">
        <v>42</v>
      </c>
      <c r="D83" s="13" t="s">
        <v>46</v>
      </c>
      <c r="E83" s="14" t="n">
        <v>25.77279</v>
      </c>
      <c r="F83" s="15" t="n">
        <f aca="false">100*G83/E83</f>
        <v>15.0708324554695</v>
      </c>
      <c r="G83" s="16" t="n">
        <v>3.884174</v>
      </c>
      <c r="H83" s="16" t="n">
        <v>0.776835</v>
      </c>
      <c r="I83" s="16" t="n">
        <f aca="false">G83+H83</f>
        <v>4.661009</v>
      </c>
      <c r="J83" s="15" t="n">
        <f aca="false">I83/E83*100</f>
        <v>18.0849997225756</v>
      </c>
      <c r="K83" s="18" t="n">
        <f aca="false">(J83-F83)/F83</f>
        <v>0.200000051490999</v>
      </c>
      <c r="N83" s="1"/>
      <c r="O83" s="2"/>
      <c r="P83" s="3"/>
      <c r="Q83" s="4"/>
      <c r="R83" s="4"/>
      <c r="S83" s="4"/>
      <c r="T83" s="3"/>
      <c r="U83" s="12"/>
    </row>
    <row r="84" customFormat="false" ht="13.5" hidden="false" customHeight="false" outlineLevel="0" collapsed="false">
      <c r="D84" s="0"/>
      <c r="E84" s="8"/>
      <c r="F84" s="9"/>
      <c r="G84" s="10"/>
      <c r="H84" s="10"/>
      <c r="I84" s="10"/>
      <c r="J84" s="9"/>
      <c r="K84" s="11"/>
      <c r="N84" s="1"/>
      <c r="O84" s="2"/>
      <c r="P84" s="3"/>
      <c r="Q84" s="4"/>
      <c r="R84" s="4"/>
      <c r="S84" s="4"/>
      <c r="T84" s="3"/>
      <c r="U84" s="12"/>
    </row>
    <row r="85" customFormat="false" ht="12.75" hidden="false" customHeight="false" outlineLevel="0" collapsed="false">
      <c r="D85" s="7"/>
      <c r="E85" s="8"/>
      <c r="F85" s="9"/>
      <c r="G85" s="10"/>
      <c r="H85" s="10"/>
      <c r="I85" s="10"/>
      <c r="J85" s="9"/>
      <c r="K85" s="11"/>
      <c r="N85" s="1"/>
      <c r="O85" s="2"/>
      <c r="P85" s="3"/>
      <c r="Q85" s="4"/>
      <c r="R85" s="4"/>
      <c r="S85" s="4"/>
      <c r="T85" s="3"/>
      <c r="U85" s="12"/>
    </row>
    <row r="86" customFormat="false" ht="13.5" hidden="false" customHeight="false" outlineLevel="0" collapsed="false">
      <c r="A86" s="1" t="s">
        <v>42</v>
      </c>
      <c r="D86" s="13" t="s">
        <v>47</v>
      </c>
      <c r="E86" s="14" t="n">
        <v>31.177676</v>
      </c>
      <c r="F86" s="15" t="n">
        <f aca="false">100*G86/E86</f>
        <v>15.8031791721743</v>
      </c>
      <c r="G86" s="16" t="n">
        <v>4.927064</v>
      </c>
      <c r="H86" s="16" t="n">
        <v>0.985413</v>
      </c>
      <c r="I86" s="16" t="n">
        <f aca="false">G86+H86</f>
        <v>5.912477</v>
      </c>
      <c r="J86" s="15" t="n">
        <f aca="false">I86/E86*100</f>
        <v>18.9638156480938</v>
      </c>
      <c r="K86" s="18" t="n">
        <f aca="false">(J86-F86)/F86</f>
        <v>0.200000040592126</v>
      </c>
      <c r="N86" s="1"/>
      <c r="O86" s="2"/>
      <c r="P86" s="3"/>
      <c r="Q86" s="4"/>
      <c r="R86" s="4"/>
      <c r="S86" s="4"/>
      <c r="T86" s="3"/>
      <c r="U86" s="12"/>
    </row>
    <row r="87" customFormat="false" ht="13.5" hidden="false" customHeight="false" outlineLevel="0" collapsed="false">
      <c r="D87" s="0"/>
      <c r="E87" s="8"/>
      <c r="F87" s="9"/>
      <c r="G87" s="10"/>
      <c r="H87" s="10"/>
      <c r="I87" s="10"/>
      <c r="J87" s="9"/>
      <c r="K87" s="11"/>
      <c r="N87" s="1"/>
      <c r="O87" s="2"/>
      <c r="P87" s="3"/>
      <c r="Q87" s="4"/>
      <c r="R87" s="4"/>
      <c r="S87" s="4"/>
      <c r="T87" s="3"/>
      <c r="U87" s="12"/>
    </row>
    <row r="88" customFormat="false" ht="12.75" hidden="false" customHeight="false" outlineLevel="0" collapsed="false">
      <c r="D88" s="7"/>
      <c r="E88" s="8"/>
      <c r="F88" s="9"/>
      <c r="G88" s="10"/>
      <c r="H88" s="10"/>
      <c r="I88" s="10"/>
      <c r="J88" s="9"/>
      <c r="K88" s="11"/>
      <c r="N88" s="1"/>
      <c r="O88" s="2"/>
      <c r="P88" s="3"/>
      <c r="Q88" s="4"/>
      <c r="R88" s="4"/>
      <c r="S88" s="4"/>
      <c r="T88" s="3"/>
      <c r="U88" s="12"/>
    </row>
    <row r="89" customFormat="false" ht="13.5" hidden="false" customHeight="false" outlineLevel="0" collapsed="false">
      <c r="A89" s="1" t="s">
        <v>42</v>
      </c>
      <c r="D89" s="13" t="s">
        <v>48</v>
      </c>
      <c r="E89" s="14" t="n">
        <v>18.24191</v>
      </c>
      <c r="F89" s="15" t="n">
        <f aca="false">100*G89/E89</f>
        <v>14.2462439514283</v>
      </c>
      <c r="G89" s="16" t="n">
        <v>2.598787</v>
      </c>
      <c r="H89" s="16" t="n">
        <v>0.519757</v>
      </c>
      <c r="I89" s="16" t="n">
        <f aca="false">G89+H89</f>
        <v>3.118544</v>
      </c>
      <c r="J89" s="15" t="n">
        <f aca="false">I89/E89*100</f>
        <v>17.0954905489612</v>
      </c>
      <c r="K89" s="18" t="n">
        <f aca="false">(J89-F89)/F89</f>
        <v>0.199999846082037</v>
      </c>
      <c r="N89" s="1"/>
      <c r="O89" s="2"/>
      <c r="P89" s="3"/>
      <c r="Q89" s="4"/>
      <c r="R89" s="4"/>
      <c r="S89" s="4"/>
      <c r="T89" s="3"/>
      <c r="U89" s="12"/>
    </row>
    <row r="90" customFormat="false" ht="13.5" hidden="false" customHeight="false" outlineLevel="0" collapsed="false">
      <c r="D90" s="0"/>
      <c r="E90" s="8"/>
      <c r="F90" s="9"/>
      <c r="G90" s="10"/>
      <c r="H90" s="10"/>
      <c r="I90" s="10"/>
      <c r="J90" s="9"/>
      <c r="K90" s="11"/>
      <c r="N90" s="1"/>
      <c r="O90" s="2"/>
      <c r="P90" s="3"/>
      <c r="Q90" s="4"/>
      <c r="R90" s="4"/>
      <c r="S90" s="4"/>
      <c r="T90" s="3"/>
      <c r="U90" s="12"/>
    </row>
    <row r="91" customFormat="false" ht="12.75" hidden="false" customHeight="false" outlineLevel="0" collapsed="false">
      <c r="D91" s="7"/>
      <c r="E91" s="8"/>
      <c r="F91" s="9"/>
      <c r="G91" s="10"/>
      <c r="H91" s="10"/>
      <c r="I91" s="10"/>
      <c r="J91" s="9"/>
      <c r="K91" s="11"/>
      <c r="N91" s="1"/>
      <c r="O91" s="2"/>
      <c r="P91" s="3"/>
      <c r="Q91" s="4"/>
      <c r="R91" s="4"/>
      <c r="S91" s="4"/>
      <c r="T91" s="3"/>
      <c r="U91" s="12"/>
    </row>
    <row r="92" customFormat="false" ht="13.5" hidden="false" customHeight="false" outlineLevel="0" collapsed="false">
      <c r="A92" s="1" t="s">
        <v>42</v>
      </c>
      <c r="D92" s="13" t="s">
        <v>49</v>
      </c>
      <c r="E92" s="14" t="n">
        <v>136.212371</v>
      </c>
      <c r="F92" s="15" t="n">
        <f aca="false">100*G92/E92</f>
        <v>15.2534060213958</v>
      </c>
      <c r="G92" s="16" t="n">
        <v>20.777026</v>
      </c>
      <c r="H92" s="16" t="n">
        <v>4.155405</v>
      </c>
      <c r="I92" s="16" t="n">
        <f aca="false">G92+H92</f>
        <v>24.932431</v>
      </c>
      <c r="J92" s="15" t="n">
        <f aca="false">I92/E92*100</f>
        <v>18.3040870788454</v>
      </c>
      <c r="K92" s="18" t="n">
        <f aca="false">(J92-F92)/F92</f>
        <v>0.199999990373983</v>
      </c>
      <c r="N92" s="1"/>
      <c r="O92" s="2"/>
      <c r="P92" s="3"/>
      <c r="Q92" s="4"/>
      <c r="R92" s="4"/>
      <c r="S92" s="4"/>
      <c r="T92" s="3"/>
      <c r="U92" s="12"/>
    </row>
    <row r="93" customFormat="false" ht="13.5" hidden="false" customHeight="false" outlineLevel="0" collapsed="false">
      <c r="D93" s="0"/>
      <c r="E93" s="8"/>
      <c r="F93" s="9"/>
      <c r="G93" s="10"/>
      <c r="H93" s="10"/>
      <c r="I93" s="10"/>
      <c r="J93" s="9"/>
      <c r="K93" s="11"/>
      <c r="N93" s="1"/>
      <c r="O93" s="2"/>
      <c r="P93" s="3"/>
      <c r="Q93" s="4"/>
      <c r="R93" s="4"/>
      <c r="S93" s="4"/>
      <c r="T93" s="3"/>
      <c r="U93" s="12"/>
    </row>
    <row r="94" customFormat="false" ht="12.75" hidden="false" customHeight="false" outlineLevel="0" collapsed="false">
      <c r="D94" s="7"/>
      <c r="E94" s="8"/>
      <c r="F94" s="9"/>
      <c r="G94" s="10"/>
      <c r="H94" s="10"/>
      <c r="I94" s="10"/>
      <c r="J94" s="9"/>
      <c r="K94" s="11"/>
      <c r="N94" s="1"/>
      <c r="O94" s="2"/>
      <c r="P94" s="3"/>
      <c r="Q94" s="4"/>
      <c r="R94" s="4"/>
      <c r="S94" s="4"/>
      <c r="T94" s="3"/>
      <c r="U94" s="12"/>
    </row>
    <row r="95" customFormat="false" ht="13.5" hidden="false" customHeight="false" outlineLevel="0" collapsed="false">
      <c r="A95" s="1" t="s">
        <v>42</v>
      </c>
      <c r="D95" s="13" t="s">
        <v>50</v>
      </c>
      <c r="E95" s="14" t="n">
        <v>375.224737</v>
      </c>
      <c r="F95" s="15" t="n">
        <f aca="false">100*G95/E95</f>
        <v>13.8881589781753</v>
      </c>
      <c r="G95" s="16" t="n">
        <v>52.111808</v>
      </c>
      <c r="H95" s="16" t="n">
        <v>10.422362</v>
      </c>
      <c r="I95" s="16" t="n">
        <f aca="false">G95+H95</f>
        <v>62.53417</v>
      </c>
      <c r="J95" s="15" t="n">
        <f aca="false">I95/E95*100</f>
        <v>16.6657908804131</v>
      </c>
      <c r="K95" s="18" t="n">
        <f aca="false">(J95-F95)/F95</f>
        <v>0.200000007675804</v>
      </c>
      <c r="N95" s="1"/>
      <c r="O95" s="2"/>
      <c r="P95" s="3"/>
      <c r="Q95" s="4"/>
      <c r="R95" s="4"/>
      <c r="S95" s="4"/>
      <c r="T95" s="3"/>
      <c r="U95" s="12"/>
    </row>
    <row r="96" customFormat="false" ht="13.5" hidden="false" customHeight="false" outlineLevel="0" collapsed="false">
      <c r="D96" s="0"/>
      <c r="E96" s="8"/>
      <c r="F96" s="9"/>
      <c r="G96" s="10"/>
      <c r="H96" s="10"/>
      <c r="I96" s="10"/>
      <c r="J96" s="9"/>
      <c r="K96" s="11"/>
      <c r="N96" s="1"/>
      <c r="O96" s="2"/>
      <c r="P96" s="3"/>
      <c r="Q96" s="4"/>
      <c r="R96" s="4"/>
      <c r="S96" s="4"/>
      <c r="T96" s="3"/>
      <c r="U96" s="12"/>
    </row>
    <row r="97" customFormat="false" ht="12.75" hidden="false" customHeight="false" outlineLevel="0" collapsed="false">
      <c r="D97" s="7"/>
      <c r="E97" s="8"/>
      <c r="F97" s="9"/>
      <c r="G97" s="10"/>
      <c r="H97" s="10"/>
      <c r="I97" s="10"/>
      <c r="J97" s="9"/>
      <c r="K97" s="11"/>
      <c r="N97" s="1"/>
      <c r="O97" s="2"/>
      <c r="P97" s="3"/>
      <c r="Q97" s="4"/>
      <c r="R97" s="4"/>
      <c r="S97" s="4"/>
      <c r="T97" s="3"/>
      <c r="U97" s="12"/>
    </row>
    <row r="98" customFormat="false" ht="13.5" hidden="false" customHeight="false" outlineLevel="0" collapsed="false">
      <c r="A98" s="1" t="s">
        <v>42</v>
      </c>
      <c r="D98" s="13" t="s">
        <v>51</v>
      </c>
      <c r="E98" s="14" t="n">
        <v>37.452913</v>
      </c>
      <c r="F98" s="15" t="n">
        <f aca="false">100*G98/E98</f>
        <v>14.679007745005</v>
      </c>
      <c r="G98" s="16" t="n">
        <v>5.497716</v>
      </c>
      <c r="H98" s="16" t="n">
        <v>1.099543</v>
      </c>
      <c r="I98" s="16" t="n">
        <f aca="false">G98+H98</f>
        <v>6.597259</v>
      </c>
      <c r="J98" s="15" t="n">
        <f aca="false">I98/E98*100</f>
        <v>17.6148087600022</v>
      </c>
      <c r="K98" s="18" t="n">
        <f aca="false">(J98-F98)/F98</f>
        <v>0.199999963621257</v>
      </c>
      <c r="N98" s="1"/>
      <c r="O98" s="2"/>
      <c r="P98" s="3"/>
      <c r="Q98" s="4"/>
      <c r="R98" s="4"/>
      <c r="S98" s="4"/>
      <c r="T98" s="3"/>
      <c r="U98" s="12"/>
    </row>
    <row r="99" customFormat="false" ht="13.5" hidden="false" customHeight="false" outlineLevel="0" collapsed="false">
      <c r="D99" s="0"/>
      <c r="E99" s="8"/>
      <c r="F99" s="9"/>
      <c r="G99" s="10"/>
      <c r="H99" s="10"/>
      <c r="I99" s="10"/>
      <c r="J99" s="9"/>
      <c r="K99" s="11"/>
      <c r="N99" s="1"/>
      <c r="O99" s="2"/>
      <c r="P99" s="3"/>
      <c r="Q99" s="4"/>
      <c r="R99" s="4"/>
      <c r="S99" s="4"/>
      <c r="T99" s="3"/>
      <c r="U99" s="12"/>
    </row>
    <row r="100" customFormat="false" ht="12.75" hidden="false" customHeight="false" outlineLevel="0" collapsed="false">
      <c r="D100" s="7"/>
      <c r="E100" s="8"/>
      <c r="F100" s="9"/>
      <c r="G100" s="10"/>
      <c r="H100" s="10"/>
      <c r="I100" s="10"/>
      <c r="J100" s="9"/>
      <c r="K100" s="11"/>
      <c r="N100" s="1"/>
      <c r="O100" s="2"/>
      <c r="P100" s="3"/>
      <c r="Q100" s="4"/>
      <c r="R100" s="4"/>
      <c r="S100" s="4"/>
      <c r="T100" s="3"/>
      <c r="U100" s="12"/>
    </row>
    <row r="101" customFormat="false" ht="13.5" hidden="false" customHeight="false" outlineLevel="0" collapsed="false">
      <c r="A101" s="1" t="s">
        <v>42</v>
      </c>
      <c r="D101" s="13" t="s">
        <v>52</v>
      </c>
      <c r="E101" s="14" t="n">
        <v>83.553832</v>
      </c>
      <c r="F101" s="15" t="n">
        <f aca="false">100*G101/E101</f>
        <v>12.3505574226685</v>
      </c>
      <c r="G101" s="16" t="n">
        <v>10.319364</v>
      </c>
      <c r="H101" s="16" t="n">
        <v>2.063873</v>
      </c>
      <c r="I101" s="16" t="n">
        <f aca="false">G101+H101</f>
        <v>12.383237</v>
      </c>
      <c r="J101" s="15" t="n">
        <f aca="false">I101/E101*100</f>
        <v>14.8206691465689</v>
      </c>
      <c r="K101" s="18" t="n">
        <f aca="false">(J101-F101)/F101</f>
        <v>0.200000019381039</v>
      </c>
      <c r="N101" s="1"/>
      <c r="O101" s="2"/>
      <c r="P101" s="3"/>
      <c r="Q101" s="4"/>
      <c r="R101" s="4"/>
      <c r="S101" s="4"/>
      <c r="T101" s="3"/>
      <c r="U101" s="12"/>
    </row>
    <row r="102" customFormat="false" ht="13.5" hidden="false" customHeight="false" outlineLevel="0" collapsed="false">
      <c r="D102" s="0"/>
      <c r="E102" s="8"/>
      <c r="F102" s="9"/>
      <c r="G102" s="10"/>
      <c r="H102" s="10"/>
      <c r="I102" s="10"/>
      <c r="J102" s="9"/>
      <c r="K102" s="11"/>
      <c r="N102" s="1"/>
      <c r="O102" s="2"/>
      <c r="P102" s="3"/>
      <c r="Q102" s="4"/>
      <c r="R102" s="4"/>
      <c r="S102" s="4"/>
      <c r="T102" s="3"/>
      <c r="U102" s="12"/>
    </row>
    <row r="103" customFormat="false" ht="12.75" hidden="false" customHeight="false" outlineLevel="0" collapsed="false">
      <c r="D103" s="7"/>
      <c r="E103" s="8"/>
      <c r="F103" s="9"/>
      <c r="G103" s="10"/>
      <c r="H103" s="10"/>
      <c r="I103" s="10"/>
      <c r="J103" s="9"/>
      <c r="K103" s="11"/>
      <c r="N103" s="1"/>
      <c r="O103" s="2"/>
      <c r="P103" s="3"/>
      <c r="Q103" s="4"/>
      <c r="R103" s="4"/>
      <c r="S103" s="4"/>
      <c r="T103" s="3"/>
      <c r="U103" s="12"/>
    </row>
    <row r="104" customFormat="false" ht="13.5" hidden="false" customHeight="false" outlineLevel="0" collapsed="false">
      <c r="A104" s="1" t="s">
        <v>42</v>
      </c>
      <c r="D104" s="13" t="s">
        <v>53</v>
      </c>
      <c r="E104" s="14" t="n">
        <v>2101.512648</v>
      </c>
      <c r="F104" s="15" t="n">
        <f aca="false">100*G104/E104</f>
        <v>9.7643096840405</v>
      </c>
      <c r="G104" s="16" t="n">
        <v>205.198203</v>
      </c>
      <c r="H104" s="16" t="n">
        <v>41.039641</v>
      </c>
      <c r="I104" s="16" t="n">
        <f aca="false">G104+H104</f>
        <v>246.237844</v>
      </c>
      <c r="J104" s="15" t="n">
        <f aca="false">I104/E104*100</f>
        <v>11.7171716398825</v>
      </c>
      <c r="K104" s="18" t="n">
        <f aca="false">(J104-F104)/F104</f>
        <v>0.200000001949335</v>
      </c>
      <c r="N104" s="1"/>
      <c r="O104" s="2"/>
      <c r="P104" s="3"/>
      <c r="Q104" s="4"/>
      <c r="R104" s="4"/>
      <c r="S104" s="4"/>
      <c r="T104" s="3"/>
      <c r="U104" s="12"/>
    </row>
    <row r="105" customFormat="false" ht="13.5" hidden="false" customHeight="false" outlineLevel="0" collapsed="false">
      <c r="D105" s="0"/>
      <c r="E105" s="8"/>
      <c r="F105" s="9"/>
      <c r="G105" s="10"/>
      <c r="H105" s="10"/>
      <c r="I105" s="10"/>
      <c r="J105" s="9"/>
      <c r="K105" s="11"/>
      <c r="N105" s="1"/>
      <c r="O105" s="2"/>
      <c r="P105" s="3"/>
      <c r="Q105" s="4"/>
      <c r="R105" s="4"/>
      <c r="S105" s="4"/>
      <c r="T105" s="3"/>
      <c r="U105" s="12"/>
    </row>
    <row r="106" customFormat="false" ht="12.75" hidden="false" customHeight="false" outlineLevel="0" collapsed="false">
      <c r="D106" s="7"/>
      <c r="E106" s="8"/>
      <c r="F106" s="9"/>
      <c r="G106" s="10"/>
      <c r="H106" s="10"/>
      <c r="I106" s="10"/>
      <c r="J106" s="9"/>
      <c r="K106" s="11"/>
      <c r="N106" s="1"/>
      <c r="O106" s="2"/>
      <c r="P106" s="3"/>
      <c r="Q106" s="4"/>
      <c r="R106" s="4"/>
      <c r="S106" s="4"/>
      <c r="T106" s="3"/>
      <c r="U106" s="12"/>
    </row>
    <row r="107" customFormat="false" ht="13.5" hidden="false" customHeight="false" outlineLevel="0" collapsed="false">
      <c r="A107" s="1" t="s">
        <v>42</v>
      </c>
      <c r="D107" s="13" t="s">
        <v>54</v>
      </c>
      <c r="E107" s="14" t="n">
        <v>156.315959</v>
      </c>
      <c r="F107" s="15" t="n">
        <f aca="false">100*G107/E107</f>
        <v>9.61919953419471</v>
      </c>
      <c r="G107" s="16" t="n">
        <v>15.036344</v>
      </c>
      <c r="H107" s="16" t="n">
        <v>3.007262</v>
      </c>
      <c r="I107" s="16" t="n">
        <f aca="false">G107+H107</f>
        <v>18.043606</v>
      </c>
      <c r="J107" s="15" t="n">
        <f aca="false">I107/E107*100</f>
        <v>11.54303509087</v>
      </c>
      <c r="K107" s="18" t="n">
        <f aca="false">(J107-F107)/F107</f>
        <v>0.199999547762408</v>
      </c>
      <c r="N107" s="1"/>
      <c r="O107" s="2"/>
      <c r="P107" s="3"/>
      <c r="Q107" s="4"/>
      <c r="R107" s="4"/>
      <c r="S107" s="4"/>
      <c r="T107" s="3"/>
      <c r="U107" s="12"/>
    </row>
    <row r="108" customFormat="false" ht="13.5" hidden="false" customHeight="false" outlineLevel="0" collapsed="false">
      <c r="D108" s="0"/>
      <c r="E108" s="8"/>
      <c r="F108" s="9"/>
      <c r="G108" s="10"/>
      <c r="H108" s="10"/>
      <c r="I108" s="10"/>
      <c r="J108" s="9"/>
      <c r="K108" s="11"/>
      <c r="N108" s="1"/>
      <c r="O108" s="2"/>
      <c r="P108" s="3"/>
      <c r="Q108" s="4"/>
      <c r="R108" s="4"/>
      <c r="S108" s="4"/>
      <c r="T108" s="3"/>
      <c r="U108" s="12"/>
    </row>
    <row r="109" customFormat="false" ht="12.75" hidden="false" customHeight="false" outlineLevel="0" collapsed="false">
      <c r="D109" s="7"/>
      <c r="E109" s="8"/>
      <c r="F109" s="9"/>
      <c r="G109" s="10"/>
      <c r="H109" s="10"/>
      <c r="I109" s="10"/>
      <c r="J109" s="9"/>
      <c r="K109" s="11"/>
      <c r="N109" s="1"/>
      <c r="O109" s="2"/>
      <c r="P109" s="3"/>
      <c r="Q109" s="4"/>
      <c r="R109" s="4"/>
      <c r="S109" s="4"/>
      <c r="T109" s="3"/>
      <c r="U109" s="12"/>
    </row>
    <row r="110" customFormat="false" ht="13.5" hidden="false" customHeight="false" outlineLevel="0" collapsed="false">
      <c r="A110" s="1" t="s">
        <v>23</v>
      </c>
      <c r="D110" s="13" t="s">
        <v>55</v>
      </c>
      <c r="E110" s="14" t="n">
        <v>46.126944</v>
      </c>
      <c r="F110" s="15" t="n">
        <f aca="false">100*G110/E110</f>
        <v>7.72911814838633</v>
      </c>
      <c r="G110" s="16" t="n">
        <v>3.565206</v>
      </c>
      <c r="H110" s="16" t="n">
        <v>1.869999</v>
      </c>
      <c r="I110" s="16" t="n">
        <f aca="false">G110+H110</f>
        <v>5.435205</v>
      </c>
      <c r="J110" s="15" t="n">
        <f aca="false">I110/E110*100</f>
        <v>11.7831456599423</v>
      </c>
      <c r="K110" s="18" t="n">
        <f aca="false">(J110-F110)/F110</f>
        <v>0.524513590519033</v>
      </c>
      <c r="N110" s="1"/>
      <c r="O110" s="2"/>
      <c r="P110" s="3"/>
      <c r="Q110" s="4"/>
      <c r="R110" s="4"/>
      <c r="S110" s="4"/>
      <c r="T110" s="3"/>
      <c r="U110" s="12"/>
    </row>
    <row r="111" customFormat="false" ht="13.5" hidden="false" customHeight="false" outlineLevel="0" collapsed="false">
      <c r="D111" s="0"/>
      <c r="E111" s="8"/>
      <c r="F111" s="9"/>
      <c r="G111" s="10"/>
      <c r="H111" s="10"/>
      <c r="I111" s="10"/>
      <c r="J111" s="9"/>
      <c r="K111" s="11"/>
      <c r="N111" s="1"/>
      <c r="O111" s="2"/>
      <c r="P111" s="3"/>
      <c r="Q111" s="4"/>
      <c r="R111" s="4"/>
      <c r="S111" s="4"/>
      <c r="T111" s="3"/>
      <c r="U111" s="12"/>
    </row>
    <row r="112" customFormat="false" ht="12.75" hidden="false" customHeight="false" outlineLevel="0" collapsed="false">
      <c r="D112" s="7"/>
      <c r="E112" s="8"/>
      <c r="F112" s="9"/>
      <c r="G112" s="10"/>
      <c r="H112" s="10"/>
      <c r="I112" s="10"/>
      <c r="J112" s="9"/>
      <c r="K112" s="11"/>
      <c r="N112" s="1"/>
      <c r="O112" s="2"/>
      <c r="P112" s="3"/>
      <c r="Q112" s="4"/>
      <c r="R112" s="4"/>
      <c r="S112" s="4"/>
      <c r="T112" s="3"/>
      <c r="U112" s="12"/>
    </row>
    <row r="113" customFormat="false" ht="13.5" hidden="false" customHeight="false" outlineLevel="0" collapsed="false">
      <c r="A113" s="1" t="s">
        <v>33</v>
      </c>
      <c r="D113" s="13" t="s">
        <v>56</v>
      </c>
      <c r="E113" s="14" t="n">
        <v>3.48</v>
      </c>
      <c r="F113" s="15" t="n">
        <f aca="false">100*G113/E113</f>
        <v>7.44956896551724</v>
      </c>
      <c r="G113" s="16" t="n">
        <v>0.259245</v>
      </c>
      <c r="H113" s="16" t="n">
        <v>0.14108</v>
      </c>
      <c r="I113" s="16" t="n">
        <f aca="false">G113+H113</f>
        <v>0.400325</v>
      </c>
      <c r="J113" s="15" t="n">
        <f aca="false">I113/E113*100</f>
        <v>11.503591954023</v>
      </c>
      <c r="K113" s="18" t="n">
        <f aca="false">(J113-F113)/F113</f>
        <v>0.544195645046192</v>
      </c>
      <c r="N113" s="1"/>
      <c r="O113" s="2"/>
      <c r="P113" s="3"/>
      <c r="Q113" s="4"/>
      <c r="R113" s="4"/>
      <c r="S113" s="4"/>
      <c r="T113" s="3"/>
      <c r="U113" s="12"/>
    </row>
    <row r="114" customFormat="false" ht="13.5" hidden="false" customHeight="false" outlineLevel="0" collapsed="false">
      <c r="D114" s="0"/>
      <c r="E114" s="8"/>
      <c r="F114" s="9"/>
      <c r="G114" s="10"/>
      <c r="H114" s="10"/>
      <c r="I114" s="10"/>
      <c r="J114" s="9"/>
      <c r="K114" s="11"/>
      <c r="N114" s="1"/>
      <c r="O114" s="2"/>
      <c r="P114" s="3"/>
      <c r="Q114" s="4"/>
      <c r="R114" s="4"/>
      <c r="S114" s="4"/>
      <c r="T114" s="3"/>
      <c r="U114" s="12"/>
    </row>
    <row r="115" customFormat="false" ht="12.75" hidden="false" customHeight="false" outlineLevel="0" collapsed="false">
      <c r="D115" s="7"/>
      <c r="E115" s="8"/>
      <c r="F115" s="9"/>
      <c r="G115" s="10"/>
      <c r="H115" s="10"/>
      <c r="I115" s="10"/>
      <c r="J115" s="9"/>
      <c r="K115" s="11"/>
      <c r="N115" s="1"/>
      <c r="O115" s="2"/>
      <c r="P115" s="3"/>
      <c r="Q115" s="4"/>
      <c r="R115" s="4"/>
      <c r="S115" s="4"/>
      <c r="T115" s="3"/>
      <c r="U115" s="12"/>
    </row>
    <row r="116" customFormat="false" ht="13.5" hidden="false" customHeight="false" outlineLevel="0" collapsed="false">
      <c r="A116" s="1" t="s">
        <v>33</v>
      </c>
      <c r="D116" s="13" t="s">
        <v>57</v>
      </c>
      <c r="E116" s="14" t="n">
        <v>352.913796</v>
      </c>
      <c r="F116" s="15" t="n">
        <f aca="false">100*G116/E116</f>
        <v>8.21483924079862</v>
      </c>
      <c r="G116" s="16" t="n">
        <v>28.991301</v>
      </c>
      <c r="H116" s="16" t="n">
        <v>14.307224</v>
      </c>
      <c r="I116" s="16" t="n">
        <f aca="false">G116+H116</f>
        <v>43.298525</v>
      </c>
      <c r="J116" s="15" t="n">
        <f aca="false">I116/E116*100</f>
        <v>12.2688672108472</v>
      </c>
      <c r="K116" s="18" t="n">
        <f aca="false">(J116-F116)/F116</f>
        <v>0.493500584882341</v>
      </c>
      <c r="N116" s="1"/>
      <c r="O116" s="2"/>
      <c r="P116" s="3"/>
      <c r="Q116" s="4"/>
      <c r="R116" s="4"/>
      <c r="S116" s="4"/>
      <c r="T116" s="3"/>
      <c r="U116" s="12"/>
    </row>
    <row r="117" customFormat="false" ht="13.5" hidden="false" customHeight="false" outlineLevel="0" collapsed="false">
      <c r="D117" s="0"/>
      <c r="E117" s="8"/>
      <c r="F117" s="9"/>
      <c r="G117" s="10"/>
      <c r="H117" s="10"/>
      <c r="I117" s="10"/>
      <c r="J117" s="9"/>
      <c r="K117" s="11"/>
      <c r="N117" s="1"/>
      <c r="O117" s="2"/>
      <c r="P117" s="3"/>
      <c r="Q117" s="4"/>
      <c r="R117" s="4"/>
      <c r="S117" s="4"/>
      <c r="T117" s="3"/>
      <c r="U117" s="12"/>
    </row>
    <row r="118" customFormat="false" ht="12.75" hidden="false" customHeight="false" outlineLevel="0" collapsed="false">
      <c r="D118" s="7"/>
      <c r="E118" s="8"/>
      <c r="F118" s="9"/>
      <c r="G118" s="10"/>
      <c r="H118" s="10"/>
      <c r="I118" s="10"/>
      <c r="J118" s="9"/>
      <c r="K118" s="11"/>
      <c r="N118" s="1"/>
      <c r="O118" s="2"/>
      <c r="P118" s="3"/>
      <c r="Q118" s="4"/>
      <c r="R118" s="4"/>
      <c r="S118" s="4"/>
      <c r="T118" s="3"/>
      <c r="U118" s="12"/>
    </row>
    <row r="119" customFormat="false" ht="13.5" hidden="false" customHeight="false" outlineLevel="0" collapsed="false">
      <c r="A119" s="1" t="s">
        <v>33</v>
      </c>
      <c r="D119" s="13" t="s">
        <v>58</v>
      </c>
      <c r="E119" s="14" t="n">
        <v>358.848</v>
      </c>
      <c r="F119" s="15" t="n">
        <f aca="false">100*G119/E119</f>
        <v>5.91195325040128</v>
      </c>
      <c r="G119" s="16" t="n">
        <v>21.214926</v>
      </c>
      <c r="H119" s="16" t="n">
        <v>14.547799</v>
      </c>
      <c r="I119" s="16" t="n">
        <f aca="false">G119+H119</f>
        <v>35.762725</v>
      </c>
      <c r="J119" s="15" t="n">
        <f aca="false">I119/E119*100</f>
        <v>9.96598141831639</v>
      </c>
      <c r="K119" s="18" t="n">
        <f aca="false">(J119-F119)/F119</f>
        <v>0.685734138313751</v>
      </c>
      <c r="N119" s="1"/>
      <c r="O119" s="2"/>
      <c r="P119" s="3"/>
      <c r="Q119" s="4"/>
      <c r="R119" s="4"/>
      <c r="S119" s="4"/>
      <c r="T119" s="3"/>
      <c r="U119" s="12"/>
    </row>
    <row r="120" customFormat="false" ht="13.5" hidden="false" customHeight="false" outlineLevel="0" collapsed="false">
      <c r="D120" s="0"/>
      <c r="E120" s="8"/>
      <c r="F120" s="9"/>
      <c r="G120" s="10"/>
      <c r="H120" s="10"/>
      <c r="I120" s="10"/>
      <c r="J120" s="9"/>
      <c r="K120" s="11"/>
      <c r="N120" s="1"/>
      <c r="O120" s="2"/>
      <c r="P120" s="3"/>
      <c r="Q120" s="4"/>
      <c r="R120" s="4"/>
      <c r="S120" s="4"/>
      <c r="T120" s="3"/>
      <c r="U120" s="12"/>
    </row>
    <row r="121" customFormat="false" ht="12.75" hidden="false" customHeight="false" outlineLevel="0" collapsed="false">
      <c r="D121" s="7"/>
      <c r="E121" s="8"/>
      <c r="F121" s="9"/>
      <c r="G121" s="10"/>
      <c r="H121" s="10"/>
      <c r="I121" s="10"/>
      <c r="J121" s="9"/>
      <c r="K121" s="11"/>
      <c r="N121" s="1"/>
      <c r="O121" s="2"/>
      <c r="P121" s="3"/>
      <c r="Q121" s="4"/>
      <c r="R121" s="4"/>
      <c r="S121" s="4"/>
      <c r="T121" s="3"/>
      <c r="U121" s="12"/>
    </row>
    <row r="122" customFormat="false" ht="13.5" hidden="false" customHeight="false" outlineLevel="0" collapsed="false">
      <c r="A122" s="1" t="s">
        <v>33</v>
      </c>
      <c r="D122" s="13" t="s">
        <v>59</v>
      </c>
      <c r="E122" s="14" t="n">
        <v>28.534674</v>
      </c>
      <c r="F122" s="15" t="n">
        <f aca="false">100*G122/E122</f>
        <v>7.24782767800326</v>
      </c>
      <c r="G122" s="16" t="n">
        <v>2.068144</v>
      </c>
      <c r="H122" s="16" t="n">
        <v>1.156804</v>
      </c>
      <c r="I122" s="16" t="n">
        <f aca="false">G122+H122</f>
        <v>3.224948</v>
      </c>
      <c r="J122" s="15" t="n">
        <f aca="false">I122/E122*100</f>
        <v>11.3018568216339</v>
      </c>
      <c r="K122" s="18" t="n">
        <f aca="false">(J122-F122)/F122</f>
        <v>0.559344030202926</v>
      </c>
      <c r="N122" s="1"/>
      <c r="O122" s="2"/>
      <c r="P122" s="3"/>
      <c r="Q122" s="4"/>
      <c r="R122" s="4"/>
      <c r="S122" s="4"/>
      <c r="T122" s="3"/>
      <c r="U122" s="12"/>
    </row>
    <row r="123" customFormat="false" ht="13.5" hidden="false" customHeight="false" outlineLevel="0" collapsed="false">
      <c r="D123" s="0"/>
      <c r="E123" s="8"/>
      <c r="F123" s="9"/>
      <c r="G123" s="10"/>
      <c r="H123" s="10"/>
      <c r="I123" s="10"/>
      <c r="J123" s="9"/>
      <c r="K123" s="11"/>
      <c r="N123" s="1"/>
      <c r="O123" s="2"/>
      <c r="P123" s="3"/>
      <c r="Q123" s="4"/>
      <c r="R123" s="4"/>
      <c r="S123" s="4"/>
      <c r="T123" s="3"/>
      <c r="U123" s="12"/>
    </row>
    <row r="124" customFormat="false" ht="12.75" hidden="false" customHeight="false" outlineLevel="0" collapsed="false">
      <c r="D124" s="0"/>
      <c r="E124" s="8"/>
      <c r="F124" s="9"/>
      <c r="G124" s="10"/>
      <c r="H124" s="10"/>
      <c r="I124" s="10"/>
      <c r="J124" s="9"/>
      <c r="K124" s="11"/>
      <c r="N124" s="1"/>
      <c r="O124" s="2"/>
      <c r="P124" s="3"/>
      <c r="Q124" s="4"/>
      <c r="R124" s="4"/>
      <c r="S124" s="4"/>
      <c r="T124" s="3"/>
      <c r="U124" s="12"/>
    </row>
    <row r="125" customFormat="false" ht="13.5" hidden="false" customHeight="false" outlineLevel="0" collapsed="false">
      <c r="D125" s="27" t="s">
        <v>60</v>
      </c>
      <c r="E125" s="22" t="n">
        <f aca="false">E8+E11+E14+E17+E20+E23+E26+E29++E32+E35+E38+E41+E44+E47+E50+E53+E56+E59+E62+E65+E68+E71+E74+E77+E80+E83+E86+E89++E92+E95+E98+E101+E104+E107+E110+E113+E116+E119+E122</f>
        <v>81990.970927</v>
      </c>
      <c r="F125" s="23" t="n">
        <f aca="false">G125/E125*100</f>
        <v>10.3883244163354</v>
      </c>
      <c r="G125" s="22" t="n">
        <f aca="false">G8+G11+G14+G17+G20+G23+G26+G29++G32+G35+G38+G41+G44+G47+G50+G53+G56+G59+G62+G65+G68+G71+G74+G77+G80+G83+G86+G89++G92+G95+G98+G101+G104+G107+G110+G113+G116+G119+G122</f>
        <v>8517.488052</v>
      </c>
      <c r="H125" s="22" t="n">
        <f aca="false">H8+H11+H14+H17+H20+H23+H26+H29++H32+H35+H38+H41+H44+H47+H50+H53+H56+H59+H62+H65+H68+H71+H74+H77+H80+H83+H86+H89++H92+H95+H98+H101+H104+H107+H110+H113+H116+H119+H122</f>
        <v>2882.729122</v>
      </c>
      <c r="I125" s="24" t="n">
        <f aca="false">G125+H125</f>
        <v>11400.217174</v>
      </c>
      <c r="J125" s="23" t="n">
        <f aca="false">I125/E125*100</f>
        <v>13.9042348750207</v>
      </c>
      <c r="K125" s="25" t="n">
        <f aca="false">(J125-F125)/F125</f>
        <v>0.338448273058992</v>
      </c>
      <c r="N125" s="1"/>
      <c r="O125" s="2"/>
      <c r="P125" s="3"/>
      <c r="Q125" s="4"/>
      <c r="R125" s="4"/>
      <c r="S125" s="4"/>
      <c r="T125" s="3"/>
      <c r="U125" s="12"/>
    </row>
    <row r="126" customFormat="false" ht="13.5" hidden="false" customHeight="false" outlineLevel="0" collapsed="false">
      <c r="D126" s="0"/>
      <c r="E126" s="8"/>
      <c r="F126" s="9"/>
      <c r="G126" s="10"/>
      <c r="H126" s="10"/>
      <c r="I126" s="10"/>
      <c r="J126" s="9"/>
      <c r="K126" s="11"/>
      <c r="N126" s="1"/>
      <c r="O126" s="2"/>
      <c r="P126" s="3"/>
      <c r="Q126" s="4"/>
      <c r="R126" s="4"/>
      <c r="S126" s="4"/>
      <c r="T126" s="3"/>
      <c r="U126" s="12"/>
    </row>
    <row r="127" customFormat="false" ht="12.75" hidden="false" customHeight="false" outlineLevel="0" collapsed="false">
      <c r="D127" s="0"/>
      <c r="E127" s="8"/>
      <c r="F127" s="9"/>
      <c r="G127" s="10"/>
      <c r="H127" s="10"/>
      <c r="I127" s="10"/>
      <c r="J127" s="9"/>
      <c r="K127" s="11"/>
      <c r="N127" s="1"/>
      <c r="O127" s="2"/>
      <c r="P127" s="3"/>
      <c r="Q127" s="4"/>
      <c r="R127" s="4"/>
      <c r="S127" s="4"/>
      <c r="T127" s="3"/>
      <c r="U127" s="12"/>
    </row>
    <row r="128" customFormat="false" ht="12.75" hidden="false" customHeight="false" outlineLevel="0" collapsed="false">
      <c r="D128" s="0"/>
      <c r="E128" s="8"/>
      <c r="F128" s="9"/>
      <c r="G128" s="10"/>
      <c r="H128" s="10"/>
      <c r="I128" s="10"/>
      <c r="J128" s="9"/>
      <c r="K128" s="11"/>
      <c r="N128" s="1"/>
      <c r="O128" s="2"/>
      <c r="P128" s="3"/>
      <c r="Q128" s="4"/>
      <c r="R128" s="4"/>
      <c r="S128" s="4"/>
      <c r="T128" s="3"/>
      <c r="U128" s="12"/>
    </row>
    <row r="129" customFormat="false" ht="12.75" hidden="false" customHeight="false" outlineLevel="0" collapsed="false">
      <c r="E129" s="2" t="s">
        <v>0</v>
      </c>
      <c r="F129" s="3" t="s">
        <v>1</v>
      </c>
      <c r="G129" s="4" t="s">
        <v>1</v>
      </c>
      <c r="H129" s="4" t="s">
        <v>2</v>
      </c>
      <c r="I129" s="4" t="s">
        <v>3</v>
      </c>
      <c r="J129" s="3" t="s">
        <v>4</v>
      </c>
      <c r="N129" s="1"/>
      <c r="O129" s="2"/>
      <c r="P129" s="3"/>
      <c r="Q129" s="4"/>
      <c r="R129" s="4"/>
      <c r="S129" s="4"/>
      <c r="T129" s="3"/>
      <c r="U129" s="12"/>
    </row>
    <row r="130" customFormat="false" ht="12.75" hidden="false" customHeight="false" outlineLevel="0" collapsed="false">
      <c r="D130" s="1" t="s">
        <v>8</v>
      </c>
      <c r="E130" s="2" t="s">
        <v>9</v>
      </c>
      <c r="F130" s="3" t="s">
        <v>10</v>
      </c>
      <c r="G130" s="4" t="s">
        <v>11</v>
      </c>
      <c r="H130" s="4" t="s">
        <v>12</v>
      </c>
      <c r="I130" s="4" t="s">
        <v>2</v>
      </c>
      <c r="J130" s="3" t="s">
        <v>13</v>
      </c>
      <c r="K130" s="5" t="s">
        <v>14</v>
      </c>
      <c r="N130" s="1"/>
      <c r="O130" s="2"/>
      <c r="P130" s="3"/>
      <c r="Q130" s="4"/>
      <c r="R130" s="4"/>
      <c r="S130" s="4"/>
      <c r="T130" s="3"/>
      <c r="U130" s="12"/>
    </row>
    <row r="131" customFormat="false" ht="12.75" hidden="false" customHeight="false" outlineLevel="0" collapsed="false">
      <c r="D131" s="0"/>
      <c r="E131" s="8"/>
      <c r="F131" s="9"/>
      <c r="G131" s="10"/>
      <c r="H131" s="10"/>
      <c r="I131" s="10"/>
      <c r="J131" s="9"/>
      <c r="K131" s="11"/>
      <c r="N131" s="1"/>
      <c r="O131" s="2"/>
      <c r="P131" s="3"/>
      <c r="Q131" s="4"/>
      <c r="R131" s="4"/>
      <c r="S131" s="4"/>
      <c r="T131" s="3"/>
      <c r="U131" s="12"/>
    </row>
    <row r="132" customFormat="false" ht="12.75" hidden="false" customHeight="false" outlineLevel="0" collapsed="false">
      <c r="D132" s="1" t="s">
        <v>16</v>
      </c>
      <c r="E132" s="2" t="n">
        <f aca="false">E8+E11+E14+E17+E20+E23</f>
        <v>28847.626315</v>
      </c>
      <c r="F132" s="3" t="n">
        <f aca="false">+G132/E132*100</f>
        <v>11.6064029270202</v>
      </c>
      <c r="G132" s="2" t="n">
        <f aca="false">G8+G11+G14+G17+G20+G23</f>
        <v>3348.171745</v>
      </c>
      <c r="H132" s="2" t="n">
        <f aca="false">H8+H11+H14+H17+H20+H23</f>
        <v>697.537899</v>
      </c>
      <c r="I132" s="2" t="n">
        <f aca="false">I8+I11+I14+I17+I20+I23</f>
        <v>4045.709644</v>
      </c>
      <c r="J132" s="9" t="n">
        <f aca="false">I132/E132*100</f>
        <v>14.0244108815856</v>
      </c>
      <c r="K132" s="12" t="n">
        <f aca="false">(J132-F132)/F132</f>
        <v>0.208333966153818</v>
      </c>
      <c r="N132" s="1"/>
      <c r="O132" s="2"/>
      <c r="P132" s="3"/>
      <c r="Q132" s="4"/>
      <c r="R132" s="4"/>
      <c r="S132" s="4"/>
      <c r="T132" s="3"/>
      <c r="U132" s="12"/>
    </row>
    <row r="133" customFormat="false" ht="12.75" hidden="false" customHeight="false" outlineLevel="0" collapsed="false">
      <c r="D133" s="1" t="s">
        <v>23</v>
      </c>
      <c r="E133" s="2" t="n">
        <f aca="false">E26+E29+E35+E38+E41+E44+E47+E50+E110+E32</f>
        <v>31968.365512</v>
      </c>
      <c r="F133" s="3" t="n">
        <f aca="false">+G133/E133*100</f>
        <v>10.8261730075029</v>
      </c>
      <c r="G133" s="2" t="n">
        <f aca="false">G26+G29+G35+G38+G41+G44+G47+G50+G110+G32</f>
        <v>3460.950558</v>
      </c>
      <c r="H133" s="2" t="n">
        <f aca="false">H26+H29+H35+H38+H41+H44+H47+H50+H110+H32</f>
        <v>1386.612666</v>
      </c>
      <c r="I133" s="2" t="n">
        <f aca="false">I26+I29+I35+I38+I41+I44+I47+I50+I110+I32</f>
        <v>4847.563224</v>
      </c>
      <c r="J133" s="9" t="n">
        <f aca="false">I133/E133*100</f>
        <v>15.1636254977764</v>
      </c>
      <c r="K133" s="12" t="n">
        <f aca="false">(J133-F133)/F133</f>
        <v>0.40064503747239</v>
      </c>
      <c r="N133" s="1"/>
      <c r="O133" s="2"/>
      <c r="P133" s="3"/>
      <c r="Q133" s="4"/>
      <c r="R133" s="4"/>
      <c r="S133" s="4"/>
      <c r="T133" s="3"/>
      <c r="U133" s="12"/>
    </row>
    <row r="134" customFormat="false" ht="12.75" hidden="false" customHeight="false" outlineLevel="0" collapsed="false">
      <c r="D134" s="1" t="s">
        <v>61</v>
      </c>
      <c r="E134" s="2" t="n">
        <f aca="false">E74+E77+E80+E83+E86+E89+E95+E98+E101+E104+E107+E92</f>
        <v>3422.874203</v>
      </c>
      <c r="F134" s="3" t="n">
        <f aca="false">+G134/E134*100</f>
        <v>11.9073879969874</v>
      </c>
      <c r="G134" s="2" t="n">
        <f aca="false">G74+G77+G80+G83+G86+G89+G95+G98+G101+G104+G107+G92</f>
        <v>407.574912</v>
      </c>
      <c r="H134" s="2" t="n">
        <f aca="false">H74+H77+H80+H83+H86+H89+H95+H98+H101+H104+H107+H92</f>
        <v>77.38417</v>
      </c>
      <c r="I134" s="2" t="n">
        <f aca="false">I74+I77+I80+I83+I86+I89+I95+I98+I101+I104+I107+I92</f>
        <v>484.959082</v>
      </c>
      <c r="J134" s="9" t="n">
        <f aca="false">I134/E134*100</f>
        <v>14.1681830309438</v>
      </c>
      <c r="K134" s="12" t="n">
        <f aca="false">(J134-F134)/F134</f>
        <v>0.189864900222318</v>
      </c>
      <c r="N134" s="1"/>
      <c r="O134" s="2"/>
      <c r="P134" s="3"/>
      <c r="Q134" s="4"/>
      <c r="R134" s="4"/>
      <c r="S134" s="4"/>
      <c r="T134" s="3"/>
      <c r="U134" s="12"/>
    </row>
    <row r="135" customFormat="false" ht="12.75" hidden="false" customHeight="false" outlineLevel="0" collapsed="false">
      <c r="D135" s="1" t="s">
        <v>37</v>
      </c>
      <c r="E135" s="2" t="n">
        <f aca="false">E62+E65+E68+E71</f>
        <v>517.658395</v>
      </c>
      <c r="F135" s="3" t="n">
        <f aca="false">+G135/E135*100</f>
        <v>12.5434125336652</v>
      </c>
      <c r="G135" s="2" t="n">
        <f aca="false">G62+G65+G68+G71</f>
        <v>64.932028</v>
      </c>
      <c r="H135" s="2" t="n">
        <f aca="false">H62+H65+H68+H71</f>
        <v>22.505094</v>
      </c>
      <c r="I135" s="2" t="n">
        <f aca="false">I62+I65+I68+I71</f>
        <v>87.437122</v>
      </c>
      <c r="J135" s="9" t="n">
        <f aca="false">I135/E135*100</f>
        <v>16.8908923036011</v>
      </c>
      <c r="K135" s="12" t="n">
        <f aca="false">(J135-F135)/F135</f>
        <v>0.346594657416214</v>
      </c>
      <c r="N135" s="1"/>
      <c r="O135" s="2"/>
      <c r="P135" s="3"/>
      <c r="Q135" s="4"/>
      <c r="R135" s="4"/>
      <c r="S135" s="4"/>
      <c r="T135" s="3"/>
      <c r="U135" s="12"/>
    </row>
    <row r="136" customFormat="false" ht="12.75" hidden="false" customHeight="false" outlineLevel="0" collapsed="false">
      <c r="D136" s="1" t="s">
        <v>33</v>
      </c>
      <c r="E136" s="2" t="n">
        <f aca="false">E116+E119+E122+E53+E56+E59+E113</f>
        <v>17234.446502</v>
      </c>
      <c r="F136" s="3" t="n">
        <f aca="false">+G136/E136*100</f>
        <v>7.17086451750326</v>
      </c>
      <c r="G136" s="2" t="n">
        <f aca="false">G116+G119+G122+G53+G56+G59+G113</f>
        <v>1235.858809</v>
      </c>
      <c r="H136" s="2" t="n">
        <f aca="false">H116+H119+H122+H53+H56+H59+H113</f>
        <v>698.689293</v>
      </c>
      <c r="I136" s="2" t="n">
        <f aca="false">I116+I119+I122+I53+I56+I59+I113</f>
        <v>1934.548102</v>
      </c>
      <c r="J136" s="9" t="n">
        <f aca="false">I136/E136*100</f>
        <v>11.2248925532683</v>
      </c>
      <c r="K136" s="12" t="n">
        <f aca="false">(J136-F136)/F136</f>
        <v>0.565347180367106</v>
      </c>
      <c r="N136" s="1"/>
      <c r="O136" s="2"/>
      <c r="P136" s="3"/>
      <c r="Q136" s="4"/>
      <c r="R136" s="4"/>
      <c r="S136" s="4"/>
      <c r="T136" s="3"/>
      <c r="U136" s="12"/>
    </row>
    <row r="137" customFormat="false" ht="12.75" hidden="false" customHeight="false" outlineLevel="0" collapsed="false">
      <c r="G137" s="2"/>
      <c r="H137" s="2"/>
      <c r="I137" s="2"/>
      <c r="J137" s="9"/>
      <c r="K137" s="12"/>
      <c r="N137" s="1"/>
      <c r="O137" s="2"/>
      <c r="P137" s="3"/>
      <c r="Q137" s="4"/>
      <c r="R137" s="4"/>
      <c r="S137" s="4"/>
      <c r="T137" s="3"/>
      <c r="U137" s="12"/>
    </row>
    <row r="138" customFormat="false" ht="12.75" hidden="false" customHeight="false" outlineLevel="0" collapsed="false">
      <c r="D138" s="1" t="s">
        <v>62</v>
      </c>
      <c r="E138" s="2" t="n">
        <f aca="false">SUM(E132:E137)</f>
        <v>81990.970927</v>
      </c>
      <c r="F138" s="3" t="n">
        <f aca="false">+G138/E138*100</f>
        <v>10.3883244163354</v>
      </c>
      <c r="G138" s="2" t="n">
        <f aca="false">SUM(G132:G137)</f>
        <v>8517.488052</v>
      </c>
      <c r="H138" s="2" t="n">
        <f aca="false">SUM(H132:H137)</f>
        <v>2882.729122</v>
      </c>
      <c r="I138" s="2" t="n">
        <f aca="false">SUM(I132:I137)</f>
        <v>11400.217174</v>
      </c>
      <c r="J138" s="9" t="n">
        <f aca="false">I138/E138*100</f>
        <v>13.9042348750207</v>
      </c>
      <c r="K138" s="12" t="n">
        <f aca="false">(J138-F138)/F138</f>
        <v>0.338448273058992</v>
      </c>
      <c r="N138" s="1"/>
      <c r="O138" s="2"/>
      <c r="P138" s="3"/>
      <c r="Q138" s="4"/>
      <c r="R138" s="4"/>
      <c r="S138" s="4"/>
      <c r="T138" s="3"/>
      <c r="U138" s="12"/>
    </row>
    <row r="139" customFormat="false" ht="12.75" hidden="false" customHeight="false" outlineLevel="0" collapsed="false">
      <c r="D139" s="0"/>
      <c r="E139" s="8"/>
      <c r="F139" s="9"/>
      <c r="G139" s="10"/>
      <c r="H139" s="10"/>
      <c r="I139" s="10"/>
      <c r="J139" s="9"/>
      <c r="K139" s="11"/>
      <c r="N139" s="1"/>
      <c r="O139" s="2"/>
      <c r="P139" s="3"/>
      <c r="Q139" s="4"/>
      <c r="R139" s="4"/>
      <c r="S139" s="4"/>
      <c r="T139" s="3"/>
      <c r="U139" s="12"/>
    </row>
    <row r="140" customFormat="false" ht="12.75" hidden="false" customHeight="false" outlineLevel="0" collapsed="false">
      <c r="E140" s="8"/>
      <c r="F140" s="9"/>
      <c r="G140" s="10"/>
      <c r="H140" s="10"/>
      <c r="I140" s="10"/>
      <c r="J140" s="9"/>
      <c r="K140" s="11"/>
      <c r="N140" s="1"/>
      <c r="O140" s="2"/>
      <c r="P140" s="3"/>
      <c r="Q140" s="4"/>
      <c r="R140" s="4"/>
      <c r="S140" s="4"/>
      <c r="T140" s="3"/>
      <c r="U140" s="12"/>
    </row>
    <row r="141" customFormat="false" ht="12.75" hidden="false" customHeight="false" outlineLevel="0" collapsed="false">
      <c r="D141" s="1" t="s">
        <v>63</v>
      </c>
      <c r="E141" s="8" t="n">
        <f aca="false">E8+E11+E14+E17+E20+E23+E26+E29+E32+E35+E38+E41+E62+E65+E68+E71+E74+E77+E80+E83+E86+E89+E92+E95+E98+E101+E107+E119+E122</f>
        <v>52027.016284</v>
      </c>
      <c r="F141" s="3" t="n">
        <f aca="false">+G141/E141*100</f>
        <v>11.5885502487564</v>
      </c>
      <c r="G141" s="8" t="n">
        <f aca="false">G8+G11+G14+G17+G20+G23+G26+G29+G32+G35+G38+G41+G62+G65+G68+G71+G74+G77+G80+G83+G86+G89+G92+G95+G98+G101+G107+G119+G122</f>
        <v>6029.176925</v>
      </c>
      <c r="H141" s="8" t="n">
        <f aca="false">H8+H11+H14+H17+H20+H23+H26+H29+H32+H35+H38+H41+H62+H65+H68+H71+H74+H77+H80+H83+H86+H89+H92+H95+H98+H101+H107+H119+H122</f>
        <v>1712.138272</v>
      </c>
      <c r="I141" s="8" t="n">
        <f aca="false">I8+I11+I14+I17+I20+I23+I26+I29+I32+I35+I38+I41+I62+I65+I68+I71+I74+I77+I80+I83+I86+I89+I92+I95+I98+I101+I107+I119+I122</f>
        <v>7741.315197</v>
      </c>
      <c r="J141" s="9" t="n">
        <f aca="false">I141/E141*100</f>
        <v>14.8794141004406</v>
      </c>
      <c r="K141" s="12" t="n">
        <f aca="false">(J141-F141)/F141</f>
        <v>0.283975456898704</v>
      </c>
      <c r="N141" s="1"/>
      <c r="O141" s="2"/>
      <c r="P141" s="3"/>
      <c r="Q141" s="4"/>
      <c r="R141" s="4"/>
      <c r="S141" s="4"/>
      <c r="T141" s="3"/>
      <c r="U141" s="12"/>
    </row>
    <row r="142" customFormat="false" ht="12.75" hidden="false" customHeight="false" outlineLevel="0" collapsed="false">
      <c r="D142" s="1" t="s">
        <v>64</v>
      </c>
      <c r="E142" s="8" t="n">
        <f aca="false">E44+E47+E50+E53+E56+E59+E104+E110+E113+E116</f>
        <v>29963.954643</v>
      </c>
      <c r="F142" s="3" t="n">
        <f aca="false">+G142/E142*100</f>
        <v>8.30434819651319</v>
      </c>
      <c r="G142" s="8" t="n">
        <f aca="false">G44+G47+G50+G53+G56+G59+G104+G110+G113+G116</f>
        <v>2488.311127</v>
      </c>
      <c r="H142" s="8" t="n">
        <f aca="false">H44+H47+H50+H53+H56+H59+H104+H110+H113+H116</f>
        <v>1170.59085</v>
      </c>
      <c r="I142" s="8" t="n">
        <f aca="false">I44+I47+I50+I53+I56+I59+I104+I110+I113+I116</f>
        <v>3658.901977</v>
      </c>
      <c r="J142" s="9" t="n">
        <f aca="false">I142/E142*100</f>
        <v>12.2110115990807</v>
      </c>
      <c r="K142" s="12" t="n">
        <f aca="false">(J142-F142)/F142</f>
        <v>0.470435886131052</v>
      </c>
      <c r="N142" s="1"/>
      <c r="O142" s="2"/>
      <c r="P142" s="3"/>
      <c r="Q142" s="4"/>
      <c r="R142" s="4"/>
      <c r="S142" s="4"/>
      <c r="T142" s="3"/>
      <c r="U142" s="12"/>
    </row>
    <row r="143" customFormat="false" ht="12.75" hidden="false" customHeight="false" outlineLevel="0" collapsed="false">
      <c r="D143" s="0"/>
      <c r="E143" s="8"/>
      <c r="G143" s="8"/>
      <c r="H143" s="8"/>
      <c r="I143" s="8"/>
      <c r="K143" s="11"/>
      <c r="N143" s="1"/>
      <c r="O143" s="2"/>
      <c r="P143" s="3"/>
      <c r="Q143" s="4"/>
      <c r="R143" s="4"/>
      <c r="S143" s="4"/>
      <c r="T143" s="3"/>
      <c r="U143" s="12"/>
    </row>
    <row r="144" customFormat="false" ht="12.75" hidden="false" customHeight="false" outlineLevel="0" collapsed="false">
      <c r="D144" s="1" t="s">
        <v>62</v>
      </c>
      <c r="E144" s="8" t="n">
        <f aca="false">+E141+E142</f>
        <v>81990.970927</v>
      </c>
      <c r="F144" s="3" t="n">
        <f aca="false">+G144/E144*100</f>
        <v>10.3883244163354</v>
      </c>
      <c r="G144" s="8" t="n">
        <f aca="false">+G141+G142</f>
        <v>8517.488052</v>
      </c>
      <c r="H144" s="8" t="n">
        <f aca="false">+H141+H142</f>
        <v>2882.729122</v>
      </c>
      <c r="I144" s="8" t="n">
        <f aca="false">+I141+I142</f>
        <v>11400.217174</v>
      </c>
      <c r="J144" s="9" t="n">
        <f aca="false">I144/E144*100</f>
        <v>13.9042348750207</v>
      </c>
      <c r="K144" s="12" t="n">
        <f aca="false">(J144-F144)/F144</f>
        <v>0.338448273058992</v>
      </c>
      <c r="N144" s="1"/>
      <c r="O144" s="2"/>
      <c r="P144" s="3"/>
      <c r="Q144" s="4"/>
      <c r="R144" s="4"/>
      <c r="S144" s="4"/>
      <c r="T144" s="3"/>
      <c r="U144" s="12"/>
    </row>
    <row r="145" customFormat="false" ht="12.75" hidden="false" customHeight="false" outlineLevel="0" collapsed="false">
      <c r="D145" s="0"/>
      <c r="E145" s="8" t="n">
        <f aca="false">+E144-E138</f>
        <v>0</v>
      </c>
      <c r="F145" s="9"/>
      <c r="G145" s="10"/>
      <c r="H145" s="10"/>
      <c r="I145" s="10"/>
      <c r="J145" s="9"/>
      <c r="K145" s="11"/>
      <c r="N145" s="1"/>
      <c r="O145" s="2"/>
      <c r="P145" s="3"/>
      <c r="Q145" s="4"/>
      <c r="R145" s="4"/>
      <c r="S145" s="4"/>
      <c r="T145" s="3"/>
      <c r="U145" s="12"/>
    </row>
    <row r="146" customFormat="false" ht="12.75" hidden="false" customHeight="false" outlineLevel="0" collapsed="false">
      <c r="D146" s="0"/>
      <c r="E146" s="8"/>
      <c r="F146" s="9"/>
      <c r="G146" s="10"/>
      <c r="H146" s="10"/>
      <c r="I146" s="10"/>
      <c r="J146" s="9"/>
      <c r="K146" s="11"/>
      <c r="N146" s="1"/>
      <c r="O146" s="2"/>
      <c r="P146" s="3"/>
      <c r="Q146" s="4"/>
      <c r="R146" s="4"/>
      <c r="S146" s="4"/>
      <c r="T146" s="3"/>
      <c r="U146" s="12"/>
    </row>
  </sheetData>
  <printOptions headings="false" gridLines="false" gridLinesSet="true" horizontalCentered="false" verticalCentered="false"/>
  <pageMargins left="0.747916666666667" right="0.747916666666667" top="0.709722222222222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S8" activeCellId="0" sqref="AS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99"/>
    <col collapsed="false" customWidth="true" hidden="false" outlineLevel="0" max="7" min="7" style="0" width="13.99"/>
    <col collapsed="false" customWidth="true" hidden="false" outlineLevel="0" max="8" min="8" style="0" width="14.99"/>
    <col collapsed="false" customWidth="true" hidden="false" outlineLevel="0" max="12" min="11" style="0" width="13.99"/>
    <col collapsed="false" customWidth="true" hidden="false" outlineLevel="0" max="15" min="15" style="0" width="14.56"/>
    <col collapsed="false" customWidth="true" hidden="false" outlineLevel="0" max="17" min="17" style="0" width="15.56"/>
    <col collapsed="false" customWidth="true" hidden="false" outlineLevel="0" max="19" min="19" style="0" width="10.13"/>
    <col collapsed="false" customWidth="true" hidden="false" outlineLevel="0" max="20" min="20" style="0" width="13.99"/>
    <col collapsed="false" customWidth="true" hidden="false" outlineLevel="0" max="21" min="21" style="0" width="2.84"/>
    <col collapsed="false" customWidth="true" hidden="false" outlineLevel="0" max="22" min="22" style="0" width="20.56"/>
    <col collapsed="false" customWidth="true" hidden="false" outlineLevel="0" max="23" min="23" style="0" width="13.99"/>
    <col collapsed="false" customWidth="true" hidden="false" outlineLevel="0" max="24" min="24" style="0" width="13.41"/>
    <col collapsed="false" customWidth="true" hidden="false" outlineLevel="0" max="30" min="30" style="0" width="3.42"/>
    <col collapsed="false" customWidth="true" hidden="false" outlineLevel="0" max="37" min="37" style="0" width="11.28"/>
    <col collapsed="false" customWidth="true" hidden="false" outlineLevel="0" max="41" min="40" style="0" width="9.7"/>
    <col collapsed="false" customWidth="true" hidden="false" outlineLevel="0" max="43" min="43" style="0" width="21.7"/>
    <col collapsed="false" customWidth="true" hidden="false" outlineLevel="0" max="46" min="46" style="0" width="11.85"/>
    <col collapsed="false" customWidth="true" hidden="false" outlineLevel="0" max="47" min="47" style="0" width="17.56"/>
  </cols>
  <sheetData>
    <row r="1" customFormat="false" ht="12.75" hidden="false" customHeight="false" outlineLevel="0" collapsed="false">
      <c r="C1" s="1"/>
      <c r="D1" s="28" t="s">
        <v>62</v>
      </c>
      <c r="E1" s="1"/>
      <c r="F1" s="1"/>
      <c r="G1" s="1"/>
      <c r="H1" s="28" t="s">
        <v>267</v>
      </c>
      <c r="I1" s="28"/>
      <c r="J1" s="28"/>
      <c r="K1" s="28"/>
      <c r="L1" s="28" t="s">
        <v>268</v>
      </c>
      <c r="M1" s="1"/>
      <c r="O1" s="28" t="s">
        <v>269</v>
      </c>
      <c r="Q1" s="28" t="s">
        <v>270</v>
      </c>
      <c r="T1" s="28" t="s">
        <v>271</v>
      </c>
      <c r="U1" s="28"/>
      <c r="V1" s="28"/>
      <c r="W1" s="28"/>
      <c r="AJ1" s="97"/>
      <c r="AK1" s="71"/>
      <c r="AL1" s="71"/>
    </row>
    <row r="2" customFormat="false" ht="12.75" hidden="false" customHeight="false" outlineLevel="0" collapsed="false"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28" t="s">
        <v>272</v>
      </c>
      <c r="Q2" s="28" t="s">
        <v>273</v>
      </c>
      <c r="T2" s="28" t="s">
        <v>274</v>
      </c>
      <c r="U2" s="28"/>
      <c r="V2" s="28"/>
      <c r="W2" s="28"/>
      <c r="X2" s="0" t="n">
        <f aca="false">COUNT(S7:S45)</f>
        <v>39</v>
      </c>
      <c r="Y2" s="0" t="s">
        <v>275</v>
      </c>
      <c r="AB2" s="102" t="n">
        <v>0.0734</v>
      </c>
    </row>
    <row r="3" customFormat="false" ht="12.75" hidden="false" customHeight="false" outlineLevel="0" collapsed="false">
      <c r="C3" s="1"/>
      <c r="D3" s="1" t="s">
        <v>276</v>
      </c>
      <c r="E3" s="1" t="s">
        <v>277</v>
      </c>
      <c r="F3" s="1"/>
      <c r="G3" s="1"/>
      <c r="H3" s="1" t="s">
        <v>178</v>
      </c>
      <c r="I3" s="1" t="s">
        <v>277</v>
      </c>
      <c r="J3" s="1"/>
      <c r="K3" s="1"/>
      <c r="L3" s="1" t="s">
        <v>178</v>
      </c>
      <c r="M3" s="1" t="s">
        <v>277</v>
      </c>
      <c r="T3" s="28" t="s">
        <v>278</v>
      </c>
      <c r="U3" s="28"/>
      <c r="V3" s="28"/>
      <c r="W3" s="28"/>
      <c r="Y3" s="0" t="s">
        <v>279</v>
      </c>
      <c r="AN3" s="65" t="s">
        <v>280</v>
      </c>
      <c r="AO3" s="65" t="s">
        <v>280</v>
      </c>
      <c r="AQ3" s="65" t="s">
        <v>280</v>
      </c>
      <c r="AU3" s="65" t="s">
        <v>280</v>
      </c>
    </row>
    <row r="4" customFormat="false" ht="12.75" hidden="false" customHeight="false" outlineLevel="0" collapsed="false">
      <c r="C4" s="1" t="s">
        <v>168</v>
      </c>
      <c r="D4" s="1" t="s">
        <v>281</v>
      </c>
      <c r="E4" s="1" t="s">
        <v>282</v>
      </c>
      <c r="F4" s="1"/>
      <c r="G4" s="1" t="s">
        <v>168</v>
      </c>
      <c r="H4" s="1" t="s">
        <v>281</v>
      </c>
      <c r="I4" s="1" t="s">
        <v>282</v>
      </c>
      <c r="J4" s="1"/>
      <c r="K4" s="1" t="s">
        <v>168</v>
      </c>
      <c r="L4" s="1" t="s">
        <v>281</v>
      </c>
      <c r="M4" s="1" t="s">
        <v>282</v>
      </c>
      <c r="O4" s="1" t="s">
        <v>281</v>
      </c>
      <c r="Q4" s="1" t="s">
        <v>281</v>
      </c>
      <c r="T4" s="28" t="s">
        <v>272</v>
      </c>
      <c r="U4" s="28"/>
      <c r="V4" s="28" t="s">
        <v>283</v>
      </c>
      <c r="W4" s="28"/>
      <c r="AE4" s="0" t="s">
        <v>284</v>
      </c>
      <c r="AF4" s="0" t="s">
        <v>284</v>
      </c>
      <c r="AG4" s="0" t="s">
        <v>285</v>
      </c>
      <c r="AH4" s="0" t="s">
        <v>285</v>
      </c>
      <c r="AI4" s="0" t="s">
        <v>285</v>
      </c>
      <c r="AJ4" s="0" t="s">
        <v>285</v>
      </c>
      <c r="AL4" s="0" t="s">
        <v>286</v>
      </c>
      <c r="AN4" s="65" t="s">
        <v>287</v>
      </c>
      <c r="AO4" s="65" t="s">
        <v>288</v>
      </c>
      <c r="AQ4" s="65" t="s">
        <v>289</v>
      </c>
      <c r="AU4" s="65" t="s">
        <v>288</v>
      </c>
    </row>
    <row r="5" customFormat="false" ht="12.75" hidden="false" customHeight="false" outlineLevel="0" collapsed="false">
      <c r="T5" s="28" t="s">
        <v>290</v>
      </c>
      <c r="U5" s="28"/>
      <c r="V5" s="103" t="n">
        <f aca="false">XNPV(AB2,V7:V45,S7:S45)</f>
        <v>56045584.0106964</v>
      </c>
      <c r="W5" s="103"/>
      <c r="Y5" s="0" t="s">
        <v>291</v>
      </c>
      <c r="AA5" s="0" t="n">
        <v>1</v>
      </c>
      <c r="AE5" s="0" t="s">
        <v>292</v>
      </c>
      <c r="AF5" s="0" t="s">
        <v>293</v>
      </c>
      <c r="AG5" s="0" t="s">
        <v>292</v>
      </c>
      <c r="AH5" s="0" t="s">
        <v>293</v>
      </c>
      <c r="AI5" s="0" t="s">
        <v>292</v>
      </c>
      <c r="AJ5" s="0" t="s">
        <v>293</v>
      </c>
      <c r="AL5" s="0" t="s">
        <v>294</v>
      </c>
      <c r="AN5" s="104" t="n">
        <v>0.0734</v>
      </c>
      <c r="AO5" s="104" t="n">
        <v>0.0734</v>
      </c>
      <c r="AQ5" s="104" t="n">
        <v>0.0734</v>
      </c>
      <c r="AU5" s="104" t="n">
        <v>0.0734</v>
      </c>
    </row>
    <row r="6" customFormat="false" ht="12.75" hidden="false" customHeight="false" outlineLevel="0" collapsed="false">
      <c r="A6" s="0" t="n">
        <v>2001</v>
      </c>
      <c r="B6" s="0" t="s">
        <v>174</v>
      </c>
      <c r="C6" s="8" t="n">
        <v>13308000</v>
      </c>
      <c r="D6" s="71" t="n">
        <f aca="false">E6*C6/1000</f>
        <v>3792780</v>
      </c>
      <c r="E6" s="71" t="n">
        <v>285</v>
      </c>
      <c r="G6" s="0" t="s">
        <v>295</v>
      </c>
      <c r="H6" s="0" t="s">
        <v>295</v>
      </c>
      <c r="I6" s="0" t="s">
        <v>295</v>
      </c>
      <c r="K6" s="0" t="s">
        <v>295</v>
      </c>
      <c r="L6" s="0" t="s">
        <v>295</v>
      </c>
      <c r="M6" s="0" t="s">
        <v>295</v>
      </c>
      <c r="T6" s="28" t="s">
        <v>296</v>
      </c>
      <c r="U6" s="28"/>
      <c r="V6" s="28"/>
      <c r="W6" s="28"/>
      <c r="Y6" s="0" t="s">
        <v>297</v>
      </c>
      <c r="AC6" s="0" t="n">
        <v>2001</v>
      </c>
      <c r="AD6" s="0" t="s">
        <v>174</v>
      </c>
      <c r="AG6" s="0" t="s">
        <v>298</v>
      </c>
      <c r="AH6" s="0" t="s">
        <v>298</v>
      </c>
      <c r="AI6" s="0" t="s">
        <v>299</v>
      </c>
      <c r="AJ6" s="0" t="s">
        <v>299</v>
      </c>
      <c r="AK6" s="0" t="s">
        <v>300</v>
      </c>
      <c r="AN6" s="105" t="n">
        <f aca="false">NPV(AN5/4,AN8:AN45)</f>
        <v>2249.94674923428</v>
      </c>
      <c r="AO6" s="105" t="n">
        <f aca="false">NPV(AO5/4,AO8:AO45)</f>
        <v>2250</v>
      </c>
      <c r="AQ6" s="105" t="n">
        <f aca="false">NPV(AQ5/4,AQ8:AQ45)</f>
        <v>51137136.2094619</v>
      </c>
      <c r="AS6" s="0" t="s">
        <v>301</v>
      </c>
      <c r="AT6" s="0" t="s">
        <v>302</v>
      </c>
      <c r="AU6" s="105" t="n">
        <f aca="false">NPV(AU5/4,AU8:AU45)</f>
        <v>51137136</v>
      </c>
    </row>
    <row r="7" customFormat="false" ht="12.75" hidden="false" customHeight="false" outlineLevel="0" collapsed="false">
      <c r="B7" s="0" t="s">
        <v>175</v>
      </c>
      <c r="C7" s="8" t="n">
        <v>17301661</v>
      </c>
      <c r="D7" s="71" t="n">
        <f aca="false">E7*C7/1000</f>
        <v>4550336.843</v>
      </c>
      <c r="E7" s="71" t="n">
        <v>263</v>
      </c>
      <c r="G7" s="8" t="n">
        <v>6835030</v>
      </c>
      <c r="H7" s="71" t="n">
        <f aca="false">I7*G7/1000</f>
        <v>922729.05</v>
      </c>
      <c r="I7" s="71" t="n">
        <v>135</v>
      </c>
      <c r="K7" s="8" t="n">
        <v>10466630</v>
      </c>
      <c r="L7" s="71" t="n">
        <f aca="false">K7*M7/1000</f>
        <v>3621453.98</v>
      </c>
      <c r="M7" s="71" t="n">
        <v>346</v>
      </c>
      <c r="O7" s="71" t="n">
        <f aca="false">(I7-M7)*G7/1000</f>
        <v>-1442191.33</v>
      </c>
      <c r="Q7" s="71" t="n">
        <f aca="false">O7</f>
        <v>-1442191.33</v>
      </c>
      <c r="S7" s="106" t="n">
        <v>37072</v>
      </c>
      <c r="T7" s="71" t="n">
        <f aca="false">XNPV($AB$2,O7:$O$45,S7:$S$45)</f>
        <v>-10907674.2768819</v>
      </c>
      <c r="U7" s="71"/>
      <c r="V7" s="71" t="n">
        <f aca="false">L7+H7</f>
        <v>4544183.03</v>
      </c>
      <c r="W7" s="71" t="n">
        <f aca="false">$V$5/$X$2</f>
        <v>1437066.25668452</v>
      </c>
      <c r="X7" s="105"/>
      <c r="Y7" s="0" t="s">
        <v>303</v>
      </c>
      <c r="AB7" s="107"/>
      <c r="AD7" s="0" t="s">
        <v>175</v>
      </c>
      <c r="AE7" s="0" t="s">
        <v>295</v>
      </c>
      <c r="AF7" s="0" t="s">
        <v>295</v>
      </c>
      <c r="AG7" s="0" t="s">
        <v>295</v>
      </c>
      <c r="AH7" s="0" t="s">
        <v>295</v>
      </c>
      <c r="AI7" s="0" t="s">
        <v>295</v>
      </c>
      <c r="AJ7" s="0" t="s">
        <v>295</v>
      </c>
      <c r="AK7" s="71" t="n">
        <v>346</v>
      </c>
      <c r="AL7" s="0" t="n">
        <v>1</v>
      </c>
    </row>
    <row r="8" customFormat="false" ht="12.75" hidden="false" customHeight="false" outlineLevel="0" collapsed="false">
      <c r="B8" s="0" t="s">
        <v>176</v>
      </c>
      <c r="C8" s="8" t="n">
        <v>21250889</v>
      </c>
      <c r="D8" s="71" t="n">
        <f aca="false">E8*C8/1000</f>
        <v>3676403.797</v>
      </c>
      <c r="E8" s="71" t="n">
        <v>173</v>
      </c>
      <c r="G8" s="8" t="n">
        <v>8241181</v>
      </c>
      <c r="H8" s="71" t="n">
        <f aca="false">I8*G8/1000</f>
        <v>1137282.978</v>
      </c>
      <c r="I8" s="71" t="n">
        <v>138</v>
      </c>
      <c r="K8" s="8" t="n">
        <v>13009708</v>
      </c>
      <c r="L8" s="71" t="n">
        <f aca="false">K8*M8/1000</f>
        <v>2536893.06</v>
      </c>
      <c r="M8" s="71" t="n">
        <f aca="false">IF($AA$5=1,AK8,IF($AA$5=2,$AA$10*AJ8+(1-$AA$10)*AI8,$AA$10*AF8+(1-$AA$10)*AE8))</f>
        <v>195</v>
      </c>
      <c r="O8" s="71" t="n">
        <f aca="false">(I8-M8)*G8/1000</f>
        <v>-469747.317</v>
      </c>
      <c r="Q8" s="71" t="n">
        <f aca="false">O8+Q7*(1+$AB$2)^0.25</f>
        <v>-1937704.12735985</v>
      </c>
      <c r="S8" s="106" t="n">
        <v>37164</v>
      </c>
      <c r="T8" s="71" t="n">
        <f aca="false">XNPV($AB$2,O8:$O$45,S8:$S$45)</f>
        <v>-9635990.95968337</v>
      </c>
      <c r="U8" s="71"/>
      <c r="V8" s="71" t="n">
        <f aca="false">L8+H8</f>
        <v>3674176.038</v>
      </c>
      <c r="W8" s="71" t="n">
        <f aca="false">$V$5/$X$2</f>
        <v>1437066.25668452</v>
      </c>
      <c r="X8" s="105"/>
      <c r="Y8" s="0" t="s">
        <v>304</v>
      </c>
      <c r="AB8" s="107"/>
      <c r="AD8" s="0" t="s">
        <v>176</v>
      </c>
      <c r="AE8" s="0" t="n">
        <v>249.679568671657</v>
      </c>
      <c r="AF8" s="0" t="n">
        <v>260.87813493799</v>
      </c>
      <c r="AG8" s="0" t="n">
        <v>198.557514767025</v>
      </c>
      <c r="AH8" s="0" t="n">
        <v>216.463062078853</v>
      </c>
      <c r="AI8" s="0" t="n">
        <f aca="false">AG8*$AL$8</f>
        <v>199.297953398918</v>
      </c>
      <c r="AJ8" s="0" t="n">
        <f aca="false">AH8*$AL$8</f>
        <v>217.270272089157</v>
      </c>
      <c r="AK8" s="71" t="n">
        <v>195</v>
      </c>
      <c r="AL8" s="0" t="n">
        <f aca="false">AL7*(1+$AA$12)^0.25</f>
        <v>1.00372908893809</v>
      </c>
      <c r="AN8" s="95" t="n">
        <f aca="false">(AJ8+AK8)/2</f>
        <v>206.135136044579</v>
      </c>
      <c r="AO8" s="0" t="n">
        <v>82.7545820152566</v>
      </c>
      <c r="AQ8" s="95" t="n">
        <f aca="false">+D8</f>
        <v>3676403.797</v>
      </c>
      <c r="AS8" s="95" t="n">
        <v>106.145304813907</v>
      </c>
      <c r="AT8" s="43" t="n">
        <f aca="false">+C8</f>
        <v>21250889</v>
      </c>
      <c r="AU8" s="71" t="n">
        <f aca="false">+AS8*AT8/1000</f>
        <v>2255682.09047149</v>
      </c>
    </row>
    <row r="9" customFormat="false" ht="12.75" hidden="false" customHeight="false" outlineLevel="0" collapsed="false">
      <c r="B9" s="0" t="s">
        <v>177</v>
      </c>
      <c r="C9" s="8" t="n">
        <v>17494520</v>
      </c>
      <c r="D9" s="71" t="n">
        <f aca="false">E9*C9/1000</f>
        <v>3096530.04</v>
      </c>
      <c r="E9" s="71" t="n">
        <v>177</v>
      </c>
      <c r="G9" s="8" t="n">
        <v>7583534</v>
      </c>
      <c r="H9" s="71" t="n">
        <f aca="false">I9*G9/1000</f>
        <v>940358.216</v>
      </c>
      <c r="I9" s="71" t="n">
        <v>124</v>
      </c>
      <c r="K9" s="8" t="n">
        <v>9910986</v>
      </c>
      <c r="L9" s="71" t="n">
        <f aca="false">K9*M9/1000</f>
        <v>2140772.976</v>
      </c>
      <c r="M9" s="71" t="n">
        <f aca="false">IF($AA$5=1,AK9,IF($AA$5=2,$AA$10*AJ9+(1-$AA$10)*AI9,$AA$10*AF9+(1-$AA$10)*AE9))</f>
        <v>216</v>
      </c>
      <c r="O9" s="71" t="n">
        <f aca="false">(I9-M9)*G9/1000</f>
        <v>-697685.128</v>
      </c>
      <c r="Q9" s="71" t="n">
        <f aca="false">O9+Q8*(1+$AB$2)^0.25</f>
        <v>-2670007.32343317</v>
      </c>
      <c r="S9" s="106" t="n">
        <v>37256</v>
      </c>
      <c r="T9" s="71" t="n">
        <f aca="false">XNPV($AB$2,O9:$O$45,S9:$S$45)</f>
        <v>-9331361.25972828</v>
      </c>
      <c r="U9" s="71"/>
      <c r="V9" s="71" t="n">
        <f aca="false">L9+H9</f>
        <v>3081131.192</v>
      </c>
      <c r="W9" s="71" t="n">
        <f aca="false">$V$5/$X$2</f>
        <v>1437066.25668452</v>
      </c>
      <c r="X9" s="105"/>
      <c r="AB9" s="107"/>
      <c r="AD9" s="0" t="s">
        <v>177</v>
      </c>
      <c r="AE9" s="0" t="n">
        <v>132.645161760873</v>
      </c>
      <c r="AF9" s="0" t="n">
        <v>170.614098283644</v>
      </c>
      <c r="AG9" s="0" t="n">
        <v>116.226395459976</v>
      </c>
      <c r="AH9" s="0" t="n">
        <v>289.615413739546</v>
      </c>
      <c r="AI9" s="0" t="n">
        <f aca="false">AG9*$AL$8</f>
        <v>116.6598140256</v>
      </c>
      <c r="AJ9" s="0" t="n">
        <f aca="false">AH9*$AL$8</f>
        <v>290.695415375223</v>
      </c>
      <c r="AK9" s="71" t="n">
        <v>216</v>
      </c>
      <c r="AL9" s="0" t="n">
        <f aca="false">AL8*(1+$AA$12)^0.25</f>
        <v>1.00747208398049</v>
      </c>
      <c r="AN9" s="95" t="n">
        <f aca="false">(AJ9+AK9)/2</f>
        <v>253.347707687612</v>
      </c>
      <c r="AO9" s="0" t="n">
        <f aca="false">+AO8</f>
        <v>82.7545820152566</v>
      </c>
      <c r="AQ9" s="95" t="n">
        <f aca="false">+D9</f>
        <v>3096530.04</v>
      </c>
      <c r="AS9" s="95" t="n">
        <f aca="false">+AS8</f>
        <v>106.145304813907</v>
      </c>
      <c r="AT9" s="43" t="n">
        <f aca="false">+G9</f>
        <v>7583534</v>
      </c>
      <c r="AU9" s="71" t="n">
        <f aca="false">+AS9*AT9/1000</f>
        <v>804956.527996624</v>
      </c>
    </row>
    <row r="10" customFormat="false" ht="12.75" hidden="false" customHeight="false" outlineLevel="0" collapsed="false">
      <c r="A10" s="0" t="n">
        <v>2002</v>
      </c>
      <c r="B10" s="0" t="s">
        <v>174</v>
      </c>
      <c r="C10" s="8" t="n">
        <v>13607508</v>
      </c>
      <c r="D10" s="71" t="n">
        <f aca="false">E10*C10/1000</f>
        <v>1837013.58</v>
      </c>
      <c r="E10" s="71" t="n">
        <v>135</v>
      </c>
      <c r="G10" s="8" t="n">
        <v>8874797</v>
      </c>
      <c r="H10" s="71" t="n">
        <f aca="false">I10*G10/1000</f>
        <v>887479.7</v>
      </c>
      <c r="I10" s="71" t="n">
        <v>100</v>
      </c>
      <c r="K10" s="8" t="n">
        <v>4732711</v>
      </c>
      <c r="L10" s="71" t="n">
        <f aca="false">K10*M10/1000</f>
        <v>946542.2</v>
      </c>
      <c r="M10" s="71" t="n">
        <f aca="false">IF($AA$5=1,AK10,IF($AA$5=2,$AA$10*AJ10+(1-$AA$10)*AI10,$AA$10*AF10+(1-$AA$10)*AE10))</f>
        <v>200</v>
      </c>
      <c r="O10" s="71" t="n">
        <f aca="false">(I10-M10)*G10/1000</f>
        <v>-887479.7</v>
      </c>
      <c r="Q10" s="71" t="n">
        <f aca="false">O10+Q9*(1+$AB$2)^0.25</f>
        <v>-3605188.05991949</v>
      </c>
      <c r="S10" s="106" t="n">
        <v>37346</v>
      </c>
      <c r="T10" s="71" t="n">
        <f aca="false">XNPV($AB$2,O10:$O$45,S10:$S$45)</f>
        <v>-8785789.6896331</v>
      </c>
      <c r="U10" s="71"/>
      <c r="V10" s="71" t="n">
        <f aca="false">L10+H10</f>
        <v>1834021.9</v>
      </c>
      <c r="W10" s="71" t="n">
        <f aca="false">$V$5/$X$2</f>
        <v>1437066.25668452</v>
      </c>
      <c r="X10" s="105"/>
      <c r="Y10" s="0" t="s">
        <v>305</v>
      </c>
      <c r="AA10" s="108" t="n">
        <v>0.4</v>
      </c>
      <c r="AB10" s="107"/>
      <c r="AC10" s="0" t="n">
        <v>2002</v>
      </c>
      <c r="AD10" s="0" t="s">
        <v>174</v>
      </c>
      <c r="AE10" s="0" t="n">
        <v>84.7700970692696</v>
      </c>
      <c r="AF10" s="0" t="n">
        <v>114.623655589112</v>
      </c>
      <c r="AG10" s="0" t="n">
        <v>85.322106656426</v>
      </c>
      <c r="AH10" s="0" t="n">
        <v>94.5871480286738</v>
      </c>
      <c r="AI10" s="0" t="n">
        <f aca="false">AG10*$AL$8</f>
        <v>85.6402803805333</v>
      </c>
      <c r="AJ10" s="0" t="n">
        <f aca="false">AH10*$AL$8</f>
        <v>94.9398719160733</v>
      </c>
      <c r="AK10" s="71" t="n">
        <v>200</v>
      </c>
      <c r="AL10" s="0" t="n">
        <f aca="false">AL9*(1+$AA$12)^0.25</f>
        <v>1.0112290369843</v>
      </c>
      <c r="AN10" s="95" t="n">
        <f aca="false">(AJ10+AK10)/2</f>
        <v>147.469935958037</v>
      </c>
      <c r="AO10" s="0" t="n">
        <f aca="false">+AO9</f>
        <v>82.7545820152566</v>
      </c>
      <c r="AQ10" s="95" t="n">
        <f aca="false">+D10</f>
        <v>1837013.58</v>
      </c>
      <c r="AS10" s="95" t="n">
        <f aca="false">+AS9</f>
        <v>106.145304813907</v>
      </c>
      <c r="AT10" s="43" t="n">
        <f aca="false">+G10</f>
        <v>8874797</v>
      </c>
      <c r="AU10" s="71" t="n">
        <f aca="false">+AS10*AT10/1000</f>
        <v>942018.032726543</v>
      </c>
    </row>
    <row r="11" customFormat="false" ht="12.75" hidden="false" customHeight="false" outlineLevel="0" collapsed="false">
      <c r="B11" s="0" t="s">
        <v>175</v>
      </c>
      <c r="C11" s="8" t="n">
        <v>15078598</v>
      </c>
      <c r="D11" s="71" t="n">
        <f aca="false">E11*C11/1000</f>
        <v>1914981.946</v>
      </c>
      <c r="E11" s="71" t="n">
        <v>127</v>
      </c>
      <c r="G11" s="8" t="n">
        <v>9736927</v>
      </c>
      <c r="H11" s="71" t="n">
        <f aca="false">I11*G11/1000</f>
        <v>1032114.262</v>
      </c>
      <c r="I11" s="71" t="n">
        <v>106</v>
      </c>
      <c r="K11" s="8" t="n">
        <v>5341672</v>
      </c>
      <c r="L11" s="71" t="n">
        <f aca="false">K11*M11/1000</f>
        <v>886717.552</v>
      </c>
      <c r="M11" s="71" t="n">
        <f aca="false">IF($AA$5=1,AK11,IF($AA$5=2,$AA$10*AJ11+(1-$AA$10)*AI11,$AA$10*AF11+(1-$AA$10)*AE11))</f>
        <v>166</v>
      </c>
      <c r="O11" s="71" t="n">
        <f aca="false">(I11-M11)*G11/1000</f>
        <v>-584215.62</v>
      </c>
      <c r="Q11" s="71" t="n">
        <f aca="false">O11+Q10*(1+$AB$2)^0.25</f>
        <v>-4253812.19508608</v>
      </c>
      <c r="S11" s="106" t="n">
        <v>37437</v>
      </c>
      <c r="T11" s="71" t="n">
        <f aca="false">XNPV($AB$2,O11:$O$45,S11:$S$45)</f>
        <v>-8039027.28892812</v>
      </c>
      <c r="U11" s="71"/>
      <c r="V11" s="71" t="n">
        <f aca="false">L11+H11</f>
        <v>1918831.814</v>
      </c>
      <c r="W11" s="71" t="n">
        <f aca="false">$V$5/$X$2</f>
        <v>1437066.25668452</v>
      </c>
      <c r="X11" s="105"/>
      <c r="AB11" s="107"/>
      <c r="AD11" s="0" t="s">
        <v>175</v>
      </c>
      <c r="AE11" s="0" t="n">
        <v>76.5629632202012</v>
      </c>
      <c r="AF11" s="0" t="n">
        <v>72.9206693020773</v>
      </c>
      <c r="AG11" s="0" t="n">
        <v>45.697108864994</v>
      </c>
      <c r="AH11" s="0" t="n">
        <v>46.2556835364397</v>
      </c>
      <c r="AI11" s="0" t="n">
        <f aca="false">AG11*$AL$8</f>
        <v>45.8675174481653</v>
      </c>
      <c r="AJ11" s="0" t="n">
        <f aca="false">AH11*$AL$8</f>
        <v>46.4281750942393</v>
      </c>
      <c r="AK11" s="71" t="n">
        <v>166</v>
      </c>
      <c r="AL11" s="0" t="n">
        <f aca="false">AL10*(1+$AA$12)^0.25</f>
        <v>1.015</v>
      </c>
      <c r="AN11" s="95" t="n">
        <f aca="false">(AJ11+AK11)/2</f>
        <v>106.21408754712</v>
      </c>
      <c r="AO11" s="0" t="n">
        <f aca="false">+AO10</f>
        <v>82.7545820152566</v>
      </c>
      <c r="AQ11" s="95" t="n">
        <f aca="false">+D11</f>
        <v>1914981.946</v>
      </c>
      <c r="AS11" s="95" t="n">
        <f aca="false">+AS10</f>
        <v>106.145304813907</v>
      </c>
      <c r="AT11" s="43" t="n">
        <f aca="false">+G11</f>
        <v>9736927</v>
      </c>
      <c r="AU11" s="71" t="n">
        <f aca="false">+AS11*AT11/1000</f>
        <v>1033529.08436576</v>
      </c>
    </row>
    <row r="12" customFormat="false" ht="12.75" hidden="false" customHeight="false" outlineLevel="0" collapsed="false">
      <c r="B12" s="0" t="s">
        <v>176</v>
      </c>
      <c r="C12" s="8" t="n">
        <v>21547911</v>
      </c>
      <c r="D12" s="71" t="n">
        <f aca="false">E12*C12/1000</f>
        <v>2822776.341</v>
      </c>
      <c r="E12" s="71" t="n">
        <v>131</v>
      </c>
      <c r="G12" s="8" t="n">
        <v>12466863</v>
      </c>
      <c r="H12" s="71" t="n">
        <f aca="false">I12*G12/1000</f>
        <v>1396288.656</v>
      </c>
      <c r="I12" s="71" t="n">
        <v>112</v>
      </c>
      <c r="K12" s="8" t="n">
        <v>9081049</v>
      </c>
      <c r="L12" s="71" t="n">
        <f aca="false">K12*M12/1000</f>
        <v>1425724.693</v>
      </c>
      <c r="M12" s="71" t="n">
        <f aca="false">IF($AA$5=1,AK12,IF($AA$5=2,$AA$10*AJ12+(1-$AA$10)*AI12,$AA$10*AF12+(1-$AA$10)*AE12))</f>
        <v>157</v>
      </c>
      <c r="O12" s="71" t="n">
        <f aca="false">(I12-M12)*G12/1000</f>
        <v>-561008.835</v>
      </c>
      <c r="Q12" s="71" t="n">
        <f aca="false">O12+Q11*(1+$AB$2)^0.25</f>
        <v>-4890817.54475587</v>
      </c>
      <c r="S12" s="106" t="n">
        <v>37529</v>
      </c>
      <c r="T12" s="71" t="n">
        <f aca="false">XNPV($AB$2,O12:$O$45,S12:$S$45)</f>
        <v>-7589100.12844059</v>
      </c>
      <c r="U12" s="71"/>
      <c r="V12" s="71" t="n">
        <f aca="false">L12+H12</f>
        <v>2822013.349</v>
      </c>
      <c r="W12" s="71" t="n">
        <f aca="false">$V$5/$X$2</f>
        <v>1437066.25668452</v>
      </c>
      <c r="X12" s="105"/>
      <c r="Y12" s="0" t="s">
        <v>306</v>
      </c>
      <c r="AA12" s="102" t="n">
        <v>0.015</v>
      </c>
      <c r="AB12" s="107"/>
      <c r="AD12" s="0" t="s">
        <v>176</v>
      </c>
      <c r="AE12" s="0" t="n">
        <v>130.901074619478</v>
      </c>
      <c r="AF12" s="0" t="n">
        <v>121.183511923348</v>
      </c>
      <c r="AG12" s="0" t="n">
        <v>88.2217677419355</v>
      </c>
      <c r="AH12" s="0" t="n">
        <v>87.6464021505376</v>
      </c>
      <c r="AI12" s="0" t="n">
        <f aca="false">AG12*$AL$8</f>
        <v>88.550754560121</v>
      </c>
      <c r="AJ12" s="0" t="n">
        <f aca="false">AH12*$AL$8</f>
        <v>87.9732433792609</v>
      </c>
      <c r="AK12" s="71" t="n">
        <v>157</v>
      </c>
      <c r="AL12" s="0" t="n">
        <f aca="false">AL11*(1+$AA$12)^0.25</f>
        <v>1.01878502527216</v>
      </c>
      <c r="AN12" s="95" t="n">
        <f aca="false">(AJ12+AK12)/2</f>
        <v>122.48662168963</v>
      </c>
      <c r="AO12" s="0" t="n">
        <f aca="false">+AO11</f>
        <v>82.7545820152566</v>
      </c>
      <c r="AQ12" s="95" t="n">
        <f aca="false">+D12</f>
        <v>2822776.341</v>
      </c>
      <c r="AS12" s="95" t="n">
        <f aca="false">+AS11</f>
        <v>106.145304813907</v>
      </c>
      <c r="AT12" s="43" t="n">
        <f aca="false">+G12</f>
        <v>12466863</v>
      </c>
      <c r="AU12" s="71" t="n">
        <f aca="false">+AS12*AT12/1000</f>
        <v>1323298.97320821</v>
      </c>
    </row>
    <row r="13" customFormat="false" ht="12.75" hidden="false" customHeight="false" outlineLevel="0" collapsed="false">
      <c r="B13" s="0" t="s">
        <v>177</v>
      </c>
      <c r="C13" s="8" t="n">
        <v>18261734</v>
      </c>
      <c r="D13" s="71" t="n">
        <f aca="false">E13*C13/1000</f>
        <v>2209669.814</v>
      </c>
      <c r="E13" s="71" t="n">
        <v>121</v>
      </c>
      <c r="G13" s="8" t="n">
        <v>11408290</v>
      </c>
      <c r="H13" s="71" t="n">
        <f aca="false">I13*G13/1000</f>
        <v>1060970.97</v>
      </c>
      <c r="I13" s="71" t="n">
        <v>93</v>
      </c>
      <c r="K13" s="8" t="n">
        <v>6853444</v>
      </c>
      <c r="L13" s="71" t="n">
        <f aca="false">K13*M13/1000</f>
        <v>1151378.592</v>
      </c>
      <c r="M13" s="71" t="n">
        <f aca="false">IF($AA$5=1,AK13,IF($AA$5=2,$AA$10*AJ13+(1-$AA$10)*AI13,$AA$10*AF13+(1-$AA$10)*AE13))</f>
        <v>168</v>
      </c>
      <c r="O13" s="71" t="n">
        <f aca="false">(I13-M13)*G13/1000</f>
        <v>-855621.75</v>
      </c>
      <c r="Q13" s="71" t="n">
        <f aca="false">O13+Q12*(1+$AB$2)^0.25</f>
        <v>-5833816.23342671</v>
      </c>
      <c r="S13" s="106" t="n">
        <v>37621</v>
      </c>
      <c r="T13" s="71" t="n">
        <f aca="false">XNPV($AB$2,O13:$O$45,S13:$S$45)</f>
        <v>-7154692.9562355</v>
      </c>
      <c r="U13" s="71"/>
      <c r="V13" s="71" t="n">
        <f aca="false">L13+H13</f>
        <v>2212349.562</v>
      </c>
      <c r="W13" s="71" t="n">
        <f aca="false">$V$5/$X$2</f>
        <v>1437066.25668452</v>
      </c>
      <c r="X13" s="105"/>
      <c r="Y13" s="0" t="s">
        <v>286</v>
      </c>
      <c r="AB13" s="107"/>
      <c r="AD13" s="0" t="s">
        <v>177</v>
      </c>
      <c r="AE13" s="0" t="n">
        <v>53.1338113881826</v>
      </c>
      <c r="AF13" s="0" t="n">
        <v>62.2365592754087</v>
      </c>
      <c r="AG13" s="0" t="n">
        <v>67.4687802867384</v>
      </c>
      <c r="AH13" s="0" t="n">
        <v>74.3418778972521</v>
      </c>
      <c r="AI13" s="0" t="n">
        <f aca="false">AG13*$AL$8</f>
        <v>67.7203773689723</v>
      </c>
      <c r="AJ13" s="0" t="n">
        <f aca="false">AH13*$AL$8</f>
        <v>74.6191053717558</v>
      </c>
      <c r="AK13" s="71" t="n">
        <v>168</v>
      </c>
      <c r="AL13" s="0" t="n">
        <f aca="false">AL12*(1+$AA$12)^0.25</f>
        <v>1.0225841652402</v>
      </c>
      <c r="AN13" s="95" t="n">
        <f aca="false">(AJ13+AK13)/2</f>
        <v>121.309552685878</v>
      </c>
      <c r="AO13" s="0" t="n">
        <f aca="false">+AO12</f>
        <v>82.7545820152566</v>
      </c>
      <c r="AQ13" s="95" t="n">
        <f aca="false">+D13</f>
        <v>2209669.814</v>
      </c>
      <c r="AS13" s="95" t="n">
        <f aca="false">+AS12</f>
        <v>106.145304813907</v>
      </c>
      <c r="AT13" s="43" t="n">
        <f aca="false">+G13</f>
        <v>11408290</v>
      </c>
      <c r="AU13" s="71" t="n">
        <f aca="false">+AS13*AT13/1000</f>
        <v>1210936.41945544</v>
      </c>
    </row>
    <row r="14" customFormat="false" ht="12.75" hidden="false" customHeight="false" outlineLevel="0" collapsed="false">
      <c r="A14" s="0" t="n">
        <v>2003</v>
      </c>
      <c r="B14" s="0" t="s">
        <v>174</v>
      </c>
      <c r="C14" s="8" t="n">
        <v>16026397</v>
      </c>
      <c r="D14" s="71" t="n">
        <f aca="false">E14*C14/1000</f>
        <v>1570586.906</v>
      </c>
      <c r="E14" s="71" t="n">
        <v>98</v>
      </c>
      <c r="G14" s="8" t="n">
        <v>12528699</v>
      </c>
      <c r="H14" s="71" t="n">
        <f aca="false">I14*G14/1000</f>
        <v>1089996.813</v>
      </c>
      <c r="I14" s="71" t="n">
        <v>87</v>
      </c>
      <c r="K14" s="8" t="n">
        <v>3497698</v>
      </c>
      <c r="L14" s="71" t="n">
        <f aca="false">K14*M14/1000</f>
        <v>479184.626</v>
      </c>
      <c r="M14" s="71" t="n">
        <f aca="false">IF($AA$5=1,AK14,IF($AA$5=2,$AA$10*AJ14+(1-$AA$10)*AI14,$AA$10*AF14+(1-$AA$10)*AE14))</f>
        <v>137</v>
      </c>
      <c r="O14" s="71" t="n">
        <f aca="false">(I14-M14)*G14/1000</f>
        <v>-626434.95</v>
      </c>
      <c r="Q14" s="71" t="n">
        <f aca="false">O14+Q13*(1+$AB$2)^0.25</f>
        <v>-6564475.27246304</v>
      </c>
      <c r="S14" s="106" t="n">
        <v>37711</v>
      </c>
      <c r="T14" s="71" t="n">
        <f aca="false">XNPV($AB$2,O14:$O$45,S14:$S$45)</f>
        <v>-6410052.22035474</v>
      </c>
      <c r="U14" s="71"/>
      <c r="V14" s="71" t="n">
        <f aca="false">L14+H14</f>
        <v>1569181.439</v>
      </c>
      <c r="W14" s="71" t="n">
        <f aca="false">$V$5/$X$2</f>
        <v>1437066.25668452</v>
      </c>
      <c r="X14" s="105"/>
      <c r="AB14" s="107"/>
      <c r="AC14" s="0" t="n">
        <v>2003</v>
      </c>
      <c r="AD14" s="0" t="s">
        <v>174</v>
      </c>
      <c r="AE14" s="0" t="n">
        <v>44.7736813988178</v>
      </c>
      <c r="AF14" s="0" t="n">
        <v>46.1018944008164</v>
      </c>
      <c r="AG14" s="0" t="n">
        <v>45.5745072708653</v>
      </c>
      <c r="AH14" s="0" t="n">
        <v>46.8730889912955</v>
      </c>
      <c r="AI14" s="0" t="n">
        <f aca="false">AG14*$AL$8</f>
        <v>45.7444586617882</v>
      </c>
      <c r="AJ14" s="0" t="n">
        <f aca="false">AH14*$AL$8</f>
        <v>47.0478829089471</v>
      </c>
      <c r="AK14" s="71" t="n">
        <v>137</v>
      </c>
      <c r="AL14" s="0" t="n">
        <f aca="false">AL13*(1+$AA$12)^0.25</f>
        <v>1.02639747253907</v>
      </c>
      <c r="AN14" s="95" t="n">
        <f aca="false">(AJ14+AK14)/2</f>
        <v>92.0239414544736</v>
      </c>
      <c r="AO14" s="0" t="n">
        <f aca="false">+AO13</f>
        <v>82.7545820152566</v>
      </c>
      <c r="AQ14" s="95" t="n">
        <f aca="false">+D14</f>
        <v>1570586.906</v>
      </c>
      <c r="AS14" s="95" t="n">
        <f aca="false">+AS13</f>
        <v>106.145304813907</v>
      </c>
      <c r="AT14" s="43" t="n">
        <f aca="false">+G14</f>
        <v>12528699</v>
      </c>
      <c r="AU14" s="71" t="n">
        <f aca="false">+AS14*AT14/1000</f>
        <v>1329862.57427669</v>
      </c>
    </row>
    <row r="15" customFormat="false" ht="12.75" hidden="false" customHeight="false" outlineLevel="0" collapsed="false">
      <c r="B15" s="0" t="s">
        <v>175</v>
      </c>
      <c r="C15" s="8" t="n">
        <v>16532781</v>
      </c>
      <c r="D15" s="71" t="n">
        <f aca="false">E15*C15/1000</f>
        <v>1521015.852</v>
      </c>
      <c r="E15" s="71" t="n">
        <v>92</v>
      </c>
      <c r="G15" s="8" t="n">
        <v>13862979</v>
      </c>
      <c r="H15" s="71" t="n">
        <f aca="false">I15*G15/1000</f>
        <v>1206079.173</v>
      </c>
      <c r="I15" s="71" t="n">
        <v>87</v>
      </c>
      <c r="K15" s="8" t="n">
        <v>2669802</v>
      </c>
      <c r="L15" s="71" t="n">
        <f aca="false">K15*M15/1000</f>
        <v>312366.834</v>
      </c>
      <c r="M15" s="71" t="n">
        <f aca="false">IF($AA$5=1,AK15,IF($AA$5=2,$AA$10*AJ15+(1-$AA$10)*AI15,$AA$10*AF15+(1-$AA$10)*AE15))</f>
        <v>117</v>
      </c>
      <c r="O15" s="71" t="n">
        <f aca="false">(I15-M15)*G15/1000</f>
        <v>-415889.37</v>
      </c>
      <c r="Q15" s="71" t="n">
        <f aca="false">O15+Q14*(1+$AB$2)^0.25</f>
        <v>-7097642.32621211</v>
      </c>
      <c r="S15" s="106" t="n">
        <v>37802</v>
      </c>
      <c r="T15" s="71" t="n">
        <f aca="false">XNPV($AB$2,O15:$O$45,S15:$S$45)</f>
        <v>-5886658.93414213</v>
      </c>
      <c r="U15" s="71"/>
      <c r="V15" s="71" t="n">
        <f aca="false">L15+H15</f>
        <v>1518446.007</v>
      </c>
      <c r="W15" s="71" t="n">
        <f aca="false">$V$5/$X$2</f>
        <v>1437066.25668452</v>
      </c>
      <c r="X15" s="105"/>
      <c r="AB15" s="107"/>
      <c r="AD15" s="0" t="s">
        <v>175</v>
      </c>
      <c r="AE15" s="0" t="n">
        <v>41.8239547444265</v>
      </c>
      <c r="AF15" s="0" t="n">
        <v>45.3873358833106</v>
      </c>
      <c r="AG15" s="0" t="n">
        <v>31.7051329271207</v>
      </c>
      <c r="AH15" s="0" t="n">
        <v>31.5208375149343</v>
      </c>
      <c r="AI15" s="0" t="n">
        <f aca="false">AG15*$AL$8</f>
        <v>31.8233641876</v>
      </c>
      <c r="AJ15" s="0" t="n">
        <f aca="false">AH15*$AL$8</f>
        <v>31.6383815214307</v>
      </c>
      <c r="AK15" s="71" t="n">
        <v>117</v>
      </c>
      <c r="AL15" s="0" t="n">
        <f aca="false">AL14*(1+$AA$12)^0.25</f>
        <v>1.030225</v>
      </c>
      <c r="AN15" s="95" t="n">
        <f aca="false">(AJ15+AK15)/2</f>
        <v>74.3191907607153</v>
      </c>
      <c r="AO15" s="0" t="n">
        <f aca="false">+AO14</f>
        <v>82.7545820152566</v>
      </c>
      <c r="AQ15" s="95" t="n">
        <f aca="false">+D15</f>
        <v>1521015.852</v>
      </c>
      <c r="AS15" s="95" t="n">
        <f aca="false">+AS14</f>
        <v>106.145304813907</v>
      </c>
      <c r="AT15" s="43" t="n">
        <f aca="false">+G15</f>
        <v>13862979</v>
      </c>
      <c r="AU15" s="71" t="n">
        <f aca="false">+AS15*AT15/1000</f>
        <v>1471490.13158379</v>
      </c>
    </row>
    <row r="16" customFormat="false" ht="12.75" hidden="false" customHeight="false" outlineLevel="0" collapsed="false">
      <c r="B16" s="0" t="s">
        <v>176</v>
      </c>
      <c r="C16" s="8" t="n">
        <v>24085451</v>
      </c>
      <c r="D16" s="71" t="n">
        <f aca="false">E16*C16/1000</f>
        <v>2360374.198</v>
      </c>
      <c r="E16" s="71" t="n">
        <v>98</v>
      </c>
      <c r="G16" s="8" t="n">
        <v>18336722</v>
      </c>
      <c r="H16" s="71" t="n">
        <f aca="false">I16*G16/1000</f>
        <v>1686978.424</v>
      </c>
      <c r="I16" s="71" t="n">
        <v>92</v>
      </c>
      <c r="K16" s="8" t="n">
        <v>5748729</v>
      </c>
      <c r="L16" s="71" t="n">
        <f aca="false">K16*M16/1000</f>
        <v>689847.48</v>
      </c>
      <c r="M16" s="71" t="n">
        <f aca="false">IF($AA$5=1,AK16,IF($AA$5=2,$AA$10*AJ16+(1-$AA$10)*AI16,$AA$10*AF16+(1-$AA$10)*AE16))</f>
        <v>120</v>
      </c>
      <c r="O16" s="71" t="n">
        <f aca="false">(I16-M16)*G16/1000</f>
        <v>-513428.216</v>
      </c>
      <c r="Q16" s="71" t="n">
        <f aca="false">O16+Q15*(1+$AB$2)^0.25</f>
        <v>-7737873.52608338</v>
      </c>
      <c r="S16" s="106" t="n">
        <v>37894</v>
      </c>
      <c r="T16" s="71" t="n">
        <f aca="false">XNPV($AB$2,O16:$O$45,S16:$S$45)</f>
        <v>-5569318.15929691</v>
      </c>
      <c r="U16" s="71"/>
      <c r="V16" s="71" t="n">
        <f aca="false">L16+H16</f>
        <v>2376825.904</v>
      </c>
      <c r="W16" s="71" t="n">
        <f aca="false">$V$5/$X$2</f>
        <v>1437066.25668452</v>
      </c>
      <c r="X16" s="105"/>
      <c r="AB16" s="107"/>
      <c r="AD16" s="0" t="s">
        <v>176</v>
      </c>
      <c r="AE16" s="0" t="n">
        <v>89.9277175876558</v>
      </c>
      <c r="AF16" s="0" t="n">
        <v>77.7921142940039</v>
      </c>
      <c r="AG16" s="0" t="n">
        <v>68.4907106332139</v>
      </c>
      <c r="AH16" s="0" t="n">
        <v>67.3656481481481</v>
      </c>
      <c r="AI16" s="0" t="n">
        <f aca="false">AG16*$AL$8</f>
        <v>68.7461185845983</v>
      </c>
      <c r="AJ16" s="0" t="n">
        <f aca="false">AH16*$AL$8</f>
        <v>67.6168606414649</v>
      </c>
      <c r="AK16" s="71" t="n">
        <v>120</v>
      </c>
      <c r="AL16" s="0" t="n">
        <f aca="false">AL15*(1+$AA$12)^0.25</f>
        <v>1.03406680065125</v>
      </c>
      <c r="AN16" s="95" t="n">
        <f aca="false">(AJ16+AK16)/2</f>
        <v>93.8084303207324</v>
      </c>
      <c r="AO16" s="0" t="n">
        <f aca="false">+AO15</f>
        <v>82.7545820152566</v>
      </c>
      <c r="AQ16" s="95" t="n">
        <f aca="false">+D16</f>
        <v>2360374.198</v>
      </c>
      <c r="AS16" s="95" t="n">
        <f aca="false">+AS15</f>
        <v>106.145304813907</v>
      </c>
      <c r="AT16" s="43" t="n">
        <f aca="false">+G16</f>
        <v>18336722</v>
      </c>
      <c r="AU16" s="71" t="n">
        <f aca="false">+AS16*AT16/1000</f>
        <v>1946356.94597787</v>
      </c>
    </row>
    <row r="17" customFormat="false" ht="12.75" hidden="false" customHeight="false" outlineLevel="0" collapsed="false">
      <c r="B17" s="0" t="s">
        <v>177</v>
      </c>
      <c r="C17" s="8" t="n">
        <v>22311602</v>
      </c>
      <c r="D17" s="71" t="n">
        <f aca="false">E17*C17/1000</f>
        <v>1851862.966</v>
      </c>
      <c r="E17" s="71" t="n">
        <v>83</v>
      </c>
      <c r="G17" s="8" t="n">
        <v>19737558</v>
      </c>
      <c r="H17" s="71" t="n">
        <f aca="false">I17*G17/1000</f>
        <v>1598742.198</v>
      </c>
      <c r="I17" s="71" t="n">
        <v>81</v>
      </c>
      <c r="K17" s="8" t="n">
        <v>2574043</v>
      </c>
      <c r="L17" s="71" t="n">
        <f aca="false">K17*M17/1000</f>
        <v>265126.429</v>
      </c>
      <c r="M17" s="71" t="n">
        <f aca="false">IF($AA$5=1,AK17,IF($AA$5=2,$AA$10*AJ17+(1-$AA$10)*AI17,$AA$10*AF17+(1-$AA$10)*AE17))</f>
        <v>103</v>
      </c>
      <c r="O17" s="71" t="n">
        <f aca="false">(I17-M17)*G17/1000</f>
        <v>-434226.276</v>
      </c>
      <c r="Q17" s="71" t="n">
        <f aca="false">O17+Q16*(1+$AB$2)^0.25</f>
        <v>-8310340.84140742</v>
      </c>
      <c r="S17" s="106" t="n">
        <v>37986</v>
      </c>
      <c r="T17" s="71" t="n">
        <f aca="false">XNPV($AB$2,O17:$O$45,S17:$S$45)</f>
        <v>-5146965.037089</v>
      </c>
      <c r="U17" s="71"/>
      <c r="V17" s="71" t="n">
        <f aca="false">L17+H17</f>
        <v>1863868.627</v>
      </c>
      <c r="W17" s="71" t="n">
        <f aca="false">$V$5/$X$2</f>
        <v>1437066.25668452</v>
      </c>
      <c r="X17" s="105"/>
      <c r="AB17" s="107"/>
      <c r="AD17" s="0" t="s">
        <v>177</v>
      </c>
      <c r="AE17" s="0" t="n">
        <v>39.5964158712322</v>
      </c>
      <c r="AF17" s="0" t="n">
        <v>42.9663083217824</v>
      </c>
      <c r="AG17" s="0" t="n">
        <v>54.2175924731183</v>
      </c>
      <c r="AH17" s="0" t="n">
        <v>56.3539019354839</v>
      </c>
      <c r="AI17" s="0" t="n">
        <f aca="false">AG17*$AL$8</f>
        <v>54.4197746974598</v>
      </c>
      <c r="AJ17" s="0" t="n">
        <f aca="false">AH17*$AL$8</f>
        <v>56.5640506478099</v>
      </c>
      <c r="AK17" s="71" t="n">
        <v>103</v>
      </c>
      <c r="AL17" s="0" t="n">
        <f aca="false">AL16*(1+$AA$12)^0.25</f>
        <v>1.0379229277188</v>
      </c>
      <c r="AN17" s="95" t="n">
        <f aca="false">(AJ17+AK17)/2</f>
        <v>79.7820253239049</v>
      </c>
      <c r="AO17" s="0" t="n">
        <f aca="false">+AO16</f>
        <v>82.7545820152566</v>
      </c>
      <c r="AQ17" s="95" t="n">
        <f aca="false">+D17</f>
        <v>1851862.966</v>
      </c>
      <c r="AS17" s="95" t="n">
        <f aca="false">+AS16</f>
        <v>106.145304813907</v>
      </c>
      <c r="AT17" s="43" t="n">
        <f aca="false">+G17</f>
        <v>19737558</v>
      </c>
      <c r="AU17" s="71" t="n">
        <f aca="false">+AS17*AT17/1000</f>
        <v>2095049.11019216</v>
      </c>
    </row>
    <row r="18" customFormat="false" ht="12.75" hidden="false" customHeight="false" outlineLevel="0" collapsed="false">
      <c r="A18" s="0" t="n">
        <v>2004</v>
      </c>
      <c r="B18" s="0" t="s">
        <v>174</v>
      </c>
      <c r="C18" s="8" t="n">
        <v>21643805</v>
      </c>
      <c r="D18" s="71" t="n">
        <f aca="false">E18*C18/1000</f>
        <v>1666572.985</v>
      </c>
      <c r="E18" s="71" t="n">
        <v>77</v>
      </c>
      <c r="G18" s="8" t="n">
        <v>21398531</v>
      </c>
      <c r="H18" s="71" t="n">
        <f aca="false">I18*G18/1000</f>
        <v>1626288.356</v>
      </c>
      <c r="I18" s="71" t="n">
        <v>76</v>
      </c>
      <c r="K18" s="8" t="n">
        <v>245274</v>
      </c>
      <c r="L18" s="71" t="n">
        <f aca="false">K18*M18/1000</f>
        <v>22319.934</v>
      </c>
      <c r="M18" s="71" t="n">
        <f aca="false">IF($AA$5=1,AK18,IF($AA$5=2,$AA$10*AJ18+(1-$AA$10)*AI18,$AA$10*AF18+(1-$AA$10)*AE18))</f>
        <v>91</v>
      </c>
      <c r="O18" s="71" t="n">
        <f aca="false">(I18-M18)*G18/1000</f>
        <v>-320977.965</v>
      </c>
      <c r="Q18" s="71" t="n">
        <f aca="false">O18+Q17*(1+$AB$2)^0.25</f>
        <v>-8779787.26498078</v>
      </c>
      <c r="S18" s="106" t="n">
        <v>38077</v>
      </c>
      <c r="T18" s="71" t="n">
        <f aca="false">XNPV($AB$2,O18:$O$45,S18:$S$45)</f>
        <v>-4796701.51661693</v>
      </c>
      <c r="U18" s="71"/>
      <c r="V18" s="71" t="n">
        <f aca="false">L18+H18</f>
        <v>1648608.29</v>
      </c>
      <c r="W18" s="71" t="n">
        <f aca="false">$V$5/$X$2</f>
        <v>1437066.25668452</v>
      </c>
      <c r="X18" s="105"/>
      <c r="AB18" s="107"/>
      <c r="AC18" s="0" t="n">
        <v>2004</v>
      </c>
      <c r="AD18" s="0" t="s">
        <v>174</v>
      </c>
      <c r="AE18" s="0" t="n">
        <v>42.2756765704711</v>
      </c>
      <c r="AF18" s="0" t="n">
        <v>41.0519712189153</v>
      </c>
      <c r="AG18" s="0" t="n">
        <v>31.7447168953158</v>
      </c>
      <c r="AH18" s="0" t="n">
        <v>32.3806467309356</v>
      </c>
      <c r="AI18" s="0" t="n">
        <f aca="false">AG18*$AL$8</f>
        <v>31.863095767933</v>
      </c>
      <c r="AJ18" s="0" t="n">
        <f aca="false">AH18*$AL$8</f>
        <v>32.5013970424682</v>
      </c>
      <c r="AK18" s="71" t="n">
        <v>91</v>
      </c>
      <c r="AL18" s="0" t="n">
        <f aca="false">AL17*(1+$AA$12)^0.25</f>
        <v>1.04179343462715</v>
      </c>
      <c r="AN18" s="95" t="n">
        <f aca="false">(AJ18+AK18)/2</f>
        <v>61.7506985212341</v>
      </c>
      <c r="AO18" s="0" t="n">
        <f aca="false">+AO17</f>
        <v>82.7545820152566</v>
      </c>
      <c r="AQ18" s="95" t="n">
        <f aca="false">+D18</f>
        <v>1666572.985</v>
      </c>
      <c r="AS18" s="95" t="n">
        <f aca="false">+AS17</f>
        <v>106.145304813907</v>
      </c>
      <c r="AT18" s="43" t="n">
        <f aca="false">+G18</f>
        <v>21398531</v>
      </c>
      <c r="AU18" s="71" t="n">
        <f aca="false">+AS18*AT18/1000</f>
        <v>2271353.59556483</v>
      </c>
    </row>
    <row r="19" customFormat="false" ht="12.75" hidden="false" customHeight="false" outlineLevel="0" collapsed="false">
      <c r="B19" s="0" t="s">
        <v>175</v>
      </c>
      <c r="C19" s="8" t="n">
        <v>20861843</v>
      </c>
      <c r="D19" s="71" t="n">
        <f aca="false">E19*C19/1000</f>
        <v>1606361.911</v>
      </c>
      <c r="E19" s="71" t="n">
        <v>77</v>
      </c>
      <c r="G19" s="8" t="n">
        <v>20019949</v>
      </c>
      <c r="H19" s="71" t="n">
        <f aca="false">I19*G19/1000</f>
        <v>1541536.073</v>
      </c>
      <c r="I19" s="71" t="n">
        <v>77</v>
      </c>
      <c r="K19" s="8" t="n">
        <v>841894</v>
      </c>
      <c r="L19" s="71" t="n">
        <f aca="false">K19*M19/1000</f>
        <v>76612.354</v>
      </c>
      <c r="M19" s="71" t="n">
        <f aca="false">IF($AA$5=1,AK19,IF($AA$5=2,$AA$10*AJ19+(1-$AA$10)*AI19,$AA$10*AF19+(1-$AA$10)*AE19))</f>
        <v>91</v>
      </c>
      <c r="O19" s="71" t="n">
        <f aca="false">(I19-M19)*G19/1000</f>
        <v>-280279.286</v>
      </c>
      <c r="Q19" s="71" t="n">
        <f aca="false">O19+Q18*(1+$AB$2)^0.25</f>
        <v>-9216921.90826513</v>
      </c>
      <c r="S19" s="106" t="n">
        <v>38168</v>
      </c>
      <c r="T19" s="71" t="n">
        <f aca="false">XNPV($AB$2,O19:$O$45,S19:$S$45)</f>
        <v>-4555463.6139089</v>
      </c>
      <c r="U19" s="71"/>
      <c r="V19" s="71" t="n">
        <f aca="false">L19+H19</f>
        <v>1618148.427</v>
      </c>
      <c r="W19" s="71" t="n">
        <f aca="false">$V$5/$X$2</f>
        <v>1437066.25668452</v>
      </c>
      <c r="X19" s="105"/>
      <c r="AB19" s="107"/>
      <c r="AD19" s="0" t="s">
        <v>175</v>
      </c>
      <c r="AE19" s="0" t="n">
        <v>42.4931901127278</v>
      </c>
      <c r="AF19" s="0" t="n">
        <v>40.0027480522507</v>
      </c>
      <c r="AG19" s="0" t="n">
        <v>26.9526048506571</v>
      </c>
      <c r="AH19" s="0" t="n">
        <v>26.2766629390681</v>
      </c>
      <c r="AI19" s="0" t="n">
        <f aca="false">AG19*$AL$8</f>
        <v>27.0531135112585</v>
      </c>
      <c r="AJ19" s="0" t="n">
        <f aca="false">AH19*$AL$8</f>
        <v>26.3746509521642</v>
      </c>
      <c r="AK19" s="71" t="n">
        <v>91</v>
      </c>
      <c r="AL19" s="0" t="n">
        <f aca="false">AL18*(1+$AA$12)^0.25</f>
        <v>1.045678375</v>
      </c>
      <c r="AN19" s="95" t="n">
        <f aca="false">(AJ19+AK19)/2</f>
        <v>58.6873254760821</v>
      </c>
      <c r="AO19" s="0" t="n">
        <f aca="false">+AO18</f>
        <v>82.7545820152566</v>
      </c>
      <c r="AQ19" s="95" t="n">
        <f aca="false">+D19</f>
        <v>1606361.911</v>
      </c>
      <c r="AS19" s="95" t="n">
        <f aca="false">+AS18</f>
        <v>106.145304813907</v>
      </c>
      <c r="AT19" s="43" t="n">
        <f aca="false">+G19</f>
        <v>20019949</v>
      </c>
      <c r="AU19" s="71" t="n">
        <f aca="false">+AS19*AT19/1000</f>
        <v>2125023.58896386</v>
      </c>
    </row>
    <row r="20" customFormat="false" ht="12.75" hidden="false" customHeight="false" outlineLevel="0" collapsed="false">
      <c r="B20" s="0" t="s">
        <v>176</v>
      </c>
      <c r="C20" s="8" t="n">
        <v>26363885</v>
      </c>
      <c r="D20" s="71" t="n">
        <f aca="false">E20*C20/1000</f>
        <v>2161838.57</v>
      </c>
      <c r="E20" s="71" t="n">
        <v>82</v>
      </c>
      <c r="G20" s="8" t="n">
        <v>21412396</v>
      </c>
      <c r="H20" s="71" t="n">
        <f aca="false">I20*G20/1000</f>
        <v>1734404.076</v>
      </c>
      <c r="I20" s="71" t="n">
        <v>81</v>
      </c>
      <c r="K20" s="8" t="n">
        <v>4951489</v>
      </c>
      <c r="L20" s="71" t="n">
        <f aca="false">K20*M20/1000</f>
        <v>420876.565</v>
      </c>
      <c r="M20" s="71" t="n">
        <f aca="false">IF($AA$5=1,AK20,IF($AA$5=2,$AA$10*AJ20+(1-$AA$10)*AI20,$AA$10*AF20+(1-$AA$10)*AE20))</f>
        <v>85</v>
      </c>
      <c r="O20" s="71" t="n">
        <f aca="false">(I20-M20)*G20/1000</f>
        <v>-85649.584</v>
      </c>
      <c r="Q20" s="71" t="n">
        <f aca="false">O20+Q19*(1+$AB$2)^0.25</f>
        <v>-9467236.48189983</v>
      </c>
      <c r="S20" s="106" t="n">
        <v>38260</v>
      </c>
      <c r="T20" s="71" t="n">
        <f aca="false">XNPV($AB$2,O20:$O$45,S20:$S$45)</f>
        <v>-4352196.05443174</v>
      </c>
      <c r="U20" s="71"/>
      <c r="V20" s="71" t="n">
        <f aca="false">L20+H20</f>
        <v>2155280.641</v>
      </c>
      <c r="W20" s="71" t="n">
        <f aca="false">$V$5/$X$2</f>
        <v>1437066.25668452</v>
      </c>
      <c r="X20" s="105"/>
      <c r="AB20" s="107"/>
      <c r="AD20" s="0" t="s">
        <v>176</v>
      </c>
      <c r="AE20" s="0" t="n">
        <v>71.0928909254428</v>
      </c>
      <c r="AF20" s="0" t="n">
        <v>69.0597368006616</v>
      </c>
      <c r="AG20" s="0" t="n">
        <v>55.1947433691756</v>
      </c>
      <c r="AH20" s="0" t="n">
        <v>54.3379403823178</v>
      </c>
      <c r="AI20" s="0" t="n">
        <f aca="false">AG20*$AL$8</f>
        <v>55.4005694761145</v>
      </c>
      <c r="AJ20" s="0" t="n">
        <f aca="false">AH20*$AL$8</f>
        <v>54.5405713947163</v>
      </c>
      <c r="AK20" s="71" t="n">
        <v>85</v>
      </c>
      <c r="AL20" s="0" t="n">
        <f aca="false">AL19*(1+$AA$12)^0.25</f>
        <v>1.04957780266102</v>
      </c>
      <c r="AN20" s="95" t="n">
        <f aca="false">(AJ20+AK20)/2</f>
        <v>69.7702856973581</v>
      </c>
      <c r="AO20" s="0" t="n">
        <f aca="false">+AO19</f>
        <v>82.7545820152566</v>
      </c>
      <c r="AQ20" s="95" t="n">
        <f aca="false">+D20</f>
        <v>2161838.57</v>
      </c>
      <c r="AS20" s="95" t="n">
        <f aca="false">+AS19</f>
        <v>106.145304813907</v>
      </c>
      <c r="AT20" s="43" t="n">
        <f aca="false">+G20</f>
        <v>21412396</v>
      </c>
      <c r="AU20" s="71" t="n">
        <f aca="false">+AS20*AT20/1000</f>
        <v>2272825.30021607</v>
      </c>
    </row>
    <row r="21" customFormat="false" ht="12.75" hidden="false" customHeight="false" outlineLevel="0" collapsed="false">
      <c r="B21" s="0" t="s">
        <v>177</v>
      </c>
      <c r="C21" s="8" t="n">
        <v>24659502</v>
      </c>
      <c r="D21" s="71" t="n">
        <f aca="false">E21*C21/1000</f>
        <v>1800143.646</v>
      </c>
      <c r="E21" s="71" t="n">
        <v>73</v>
      </c>
      <c r="G21" s="8" t="n">
        <v>23182863</v>
      </c>
      <c r="H21" s="71" t="n">
        <f aca="false">I21*G21/1000</f>
        <v>1715531.862</v>
      </c>
      <c r="I21" s="71" t="n">
        <v>74</v>
      </c>
      <c r="K21" s="8" t="n">
        <v>1476640</v>
      </c>
      <c r="L21" s="71" t="n">
        <f aca="false">K21*M21/1000</f>
        <v>98934.88</v>
      </c>
      <c r="M21" s="71" t="n">
        <f aca="false">IF($AA$5=1,AK21,IF($AA$5=2,$AA$10*AJ21+(1-$AA$10)*AI21,$AA$10*AF21+(1-$AA$10)*AE21))</f>
        <v>67</v>
      </c>
      <c r="O21" s="71" t="n">
        <f aca="false">(I21-M21)*G21/1000</f>
        <v>162280.041</v>
      </c>
      <c r="Q21" s="71" t="n">
        <f aca="false">O21+Q20*(1+$AB$2)^0.25</f>
        <v>-9474093.4274857</v>
      </c>
      <c r="S21" s="106" t="n">
        <v>38352</v>
      </c>
      <c r="T21" s="71" t="n">
        <f aca="false">XNPV($AB$2,O21:$O$45,S21:$S$45)</f>
        <v>-4343402.59750745</v>
      </c>
      <c r="U21" s="71"/>
      <c r="V21" s="71" t="n">
        <f aca="false">L21+H21</f>
        <v>1814466.742</v>
      </c>
      <c r="W21" s="71" t="n">
        <f aca="false">$V$5/$X$2</f>
        <v>1437066.25668452</v>
      </c>
      <c r="X21" s="105"/>
      <c r="AB21" s="107"/>
      <c r="AD21" s="0" t="s">
        <v>177</v>
      </c>
      <c r="AE21" s="0" t="n">
        <v>40.1926524144027</v>
      </c>
      <c r="AF21" s="0" t="n">
        <v>39.7514934968337</v>
      </c>
      <c r="AG21" s="0" t="n">
        <v>45.2124517323775</v>
      </c>
      <c r="AH21" s="0" t="n">
        <v>46.4339482676225</v>
      </c>
      <c r="AI21" s="0" t="n">
        <f aca="false">AG21*$AL$8</f>
        <v>45.3810529859968</v>
      </c>
      <c r="AJ21" s="0" t="n">
        <f aca="false">AH21*$AL$8</f>
        <v>46.6071045904592</v>
      </c>
      <c r="AK21" s="71" t="n">
        <v>67</v>
      </c>
      <c r="AL21" s="0" t="n">
        <f aca="false">AL20*(1+$AA$12)^0.25</f>
        <v>1.05349177163459</v>
      </c>
      <c r="AN21" s="95" t="n">
        <f aca="false">(AJ21+AK21)/2</f>
        <v>56.8035522952296</v>
      </c>
      <c r="AO21" s="0" t="n">
        <f aca="false">+AO20</f>
        <v>82.7545820152566</v>
      </c>
      <c r="AQ21" s="95" t="n">
        <f aca="false">+D21</f>
        <v>1800143.646</v>
      </c>
      <c r="AS21" s="95" t="n">
        <f aca="false">+AS20</f>
        <v>106.145304813907</v>
      </c>
      <c r="AT21" s="43" t="n">
        <f aca="false">+G21</f>
        <v>23182863</v>
      </c>
      <c r="AU21" s="71" t="n">
        <f aca="false">+AS21*AT21/1000</f>
        <v>2460752.05959404</v>
      </c>
    </row>
    <row r="22" customFormat="false" ht="12.75" hidden="false" customHeight="false" outlineLevel="0" collapsed="false">
      <c r="A22" s="0" t="n">
        <v>2005</v>
      </c>
      <c r="B22" s="0" t="s">
        <v>174</v>
      </c>
      <c r="C22" s="8" t="n">
        <v>21135169</v>
      </c>
      <c r="D22" s="71" t="n">
        <f aca="false">E22*C22/1000</f>
        <v>1416056.323</v>
      </c>
      <c r="E22" s="71" t="n">
        <v>67</v>
      </c>
      <c r="G22" s="8" t="n">
        <v>20750188</v>
      </c>
      <c r="H22" s="71" t="n">
        <f aca="false">I22*G22/1000</f>
        <v>1369512.408</v>
      </c>
      <c r="I22" s="71" t="n">
        <v>66</v>
      </c>
      <c r="K22" s="8" t="n">
        <v>384980</v>
      </c>
      <c r="L22" s="71" t="n">
        <f aca="false">K22*M22/1000</f>
        <v>30798.4</v>
      </c>
      <c r="M22" s="71" t="n">
        <f aca="false">IF($AA$5=1,AK22,IF($AA$5=2,$AA$10*AJ22+(1-$AA$10)*AI22,$AA$10*AF22+(1-$AA$10)*AE22))</f>
        <v>80</v>
      </c>
      <c r="O22" s="71" t="n">
        <f aca="false">(I22-M22)*G22/1000</f>
        <v>-290502.632</v>
      </c>
      <c r="Q22" s="71" t="n">
        <f aca="false">O22+Q21*(1+$AB$2)^0.25</f>
        <v>-9933855.54888597</v>
      </c>
      <c r="S22" s="106" t="n">
        <v>38442</v>
      </c>
      <c r="T22" s="71" t="n">
        <f aca="false">XNPV($AB$2,O22:$O$45,S22:$S$45)</f>
        <v>-4585066.60038838</v>
      </c>
      <c r="U22" s="71"/>
      <c r="V22" s="71" t="n">
        <f aca="false">L22+H22</f>
        <v>1400310.808</v>
      </c>
      <c r="W22" s="71" t="n">
        <f aca="false">$V$5/$X$2</f>
        <v>1437066.25668452</v>
      </c>
      <c r="X22" s="105"/>
      <c r="AB22" s="107"/>
      <c r="AC22" s="0" t="n">
        <v>2005</v>
      </c>
      <c r="AD22" s="0" t="s">
        <v>174</v>
      </c>
      <c r="AE22" s="0" t="n">
        <v>39.8822323617874</v>
      </c>
      <c r="AF22" s="0" t="n">
        <v>38.4184719231423</v>
      </c>
      <c r="AG22" s="0" t="n">
        <v>32.9340151049667</v>
      </c>
      <c r="AH22" s="0" t="n">
        <v>33.4962688172043</v>
      </c>
      <c r="AI22" s="0" t="n">
        <f aca="false">AG22*$AL$8</f>
        <v>33.0568289763816</v>
      </c>
      <c r="AJ22" s="0" t="n">
        <f aca="false">AH22*$AL$8</f>
        <v>33.6211793827179</v>
      </c>
      <c r="AK22" s="71" t="n">
        <v>80</v>
      </c>
      <c r="AL22" s="0" t="n">
        <f aca="false">AL21*(1+$AA$12)^0.25</f>
        <v>1.05742033614656</v>
      </c>
      <c r="AN22" s="95" t="n">
        <f aca="false">(AJ22+AK22)/2</f>
        <v>56.810589691359</v>
      </c>
      <c r="AO22" s="0" t="n">
        <f aca="false">+AO21</f>
        <v>82.7545820152566</v>
      </c>
      <c r="AQ22" s="95" t="n">
        <f aca="false">+D22</f>
        <v>1416056.323</v>
      </c>
      <c r="AS22" s="95" t="n">
        <f aca="false">+AS21</f>
        <v>106.145304813907</v>
      </c>
      <c r="AT22" s="43" t="n">
        <f aca="false">+G22</f>
        <v>20750188</v>
      </c>
      <c r="AU22" s="71" t="n">
        <f aca="false">+AS22*AT22/1000</f>
        <v>2202535.03020587</v>
      </c>
    </row>
    <row r="23" customFormat="false" ht="12.75" hidden="false" customHeight="false" outlineLevel="0" collapsed="false">
      <c r="B23" s="0" t="s">
        <v>175</v>
      </c>
      <c r="C23" s="8" t="n">
        <v>20467158</v>
      </c>
      <c r="D23" s="71" t="n">
        <f aca="false">E23*C23/1000</f>
        <v>1391766.744</v>
      </c>
      <c r="E23" s="71" t="n">
        <v>68</v>
      </c>
      <c r="G23" s="8" t="n">
        <v>19542403</v>
      </c>
      <c r="H23" s="71" t="n">
        <f aca="false">I23*G23/1000</f>
        <v>1309341.001</v>
      </c>
      <c r="I23" s="71" t="n">
        <v>67</v>
      </c>
      <c r="K23" s="8" t="n">
        <v>924755</v>
      </c>
      <c r="L23" s="71" t="n">
        <f aca="false">K23*M23/1000</f>
        <v>73055.645</v>
      </c>
      <c r="M23" s="71" t="n">
        <f aca="false">IF($AA$5=1,AK23,IF($AA$5=2,$AA$10*AJ23+(1-$AA$10)*AI23,$AA$10*AF23+(1-$AA$10)*AE23))</f>
        <v>79</v>
      </c>
      <c r="O23" s="71" t="n">
        <f aca="false">(I23-M23)*G23/1000</f>
        <v>-234508.836</v>
      </c>
      <c r="Q23" s="71" t="n">
        <f aca="false">O23+Q22*(1+$AB$2)^0.25</f>
        <v>-10345837.7580219</v>
      </c>
      <c r="S23" s="106" t="n">
        <v>38533</v>
      </c>
      <c r="T23" s="71" t="n">
        <f aca="false">XNPV($AB$2,O23:$O$45,S23:$S$45)</f>
        <v>-4371076.46841364</v>
      </c>
      <c r="U23" s="71"/>
      <c r="V23" s="71" t="n">
        <f aca="false">L23+H23</f>
        <v>1382396.646</v>
      </c>
      <c r="W23" s="71" t="n">
        <f aca="false">$V$5/$X$2</f>
        <v>1437066.25668452</v>
      </c>
      <c r="X23" s="105"/>
      <c r="AB23" s="107"/>
      <c r="AD23" s="0" t="s">
        <v>175</v>
      </c>
      <c r="AE23" s="0" t="n">
        <v>40.114874691104</v>
      </c>
      <c r="AF23" s="0" t="n">
        <v>37.387216381734</v>
      </c>
      <c r="AG23" s="0" t="n">
        <v>27.3945906810036</v>
      </c>
      <c r="AH23" s="0" t="n">
        <v>26.8232362485066</v>
      </c>
      <c r="AI23" s="0" t="n">
        <f aca="false">AG23*$AL$8</f>
        <v>27.4967475460757</v>
      </c>
      <c r="AJ23" s="0" t="n">
        <f aca="false">AH23*$AL$8</f>
        <v>26.9232624820847</v>
      </c>
      <c r="AK23" s="71" t="n">
        <v>79</v>
      </c>
      <c r="AL23" s="0" t="n">
        <f aca="false">AL22*(1+$AA$12)^0.25</f>
        <v>1.061363550625</v>
      </c>
      <c r="AN23" s="95" t="n">
        <f aca="false">(AJ23+AK23)/2</f>
        <v>52.9616312410424</v>
      </c>
      <c r="AO23" s="0" t="n">
        <f aca="false">+AO22</f>
        <v>82.7545820152566</v>
      </c>
      <c r="AQ23" s="95" t="n">
        <f aca="false">+D23</f>
        <v>1391766.744</v>
      </c>
      <c r="AS23" s="95" t="n">
        <f aca="false">+AS22</f>
        <v>106.145304813907</v>
      </c>
      <c r="AT23" s="43" t="n">
        <f aca="false">+G23</f>
        <v>19542403</v>
      </c>
      <c r="AU23" s="71" t="n">
        <f aca="false">+AS23*AT23/1000</f>
        <v>2074334.3232312</v>
      </c>
    </row>
    <row r="24" customFormat="false" ht="12.75" hidden="false" customHeight="false" outlineLevel="0" collapsed="false">
      <c r="B24" s="0" t="s">
        <v>176</v>
      </c>
      <c r="C24" s="8" t="n">
        <v>27079042</v>
      </c>
      <c r="D24" s="71" t="n">
        <f aca="false">E24*C24/1000</f>
        <v>1976770.066</v>
      </c>
      <c r="E24" s="71" t="n">
        <v>73</v>
      </c>
      <c r="G24" s="8" t="n">
        <v>20486838</v>
      </c>
      <c r="H24" s="71" t="n">
        <f aca="false">I24*G24/1000</f>
        <v>1516026.012</v>
      </c>
      <c r="I24" s="71" t="n">
        <v>74</v>
      </c>
      <c r="K24" s="8" t="n">
        <v>6592204</v>
      </c>
      <c r="L24" s="71" t="n">
        <f aca="false">K24*M24/1000</f>
        <v>468046.484</v>
      </c>
      <c r="M24" s="71" t="n">
        <f aca="false">IF($AA$5=1,AK24,IF($AA$5=2,$AA$10*AJ24+(1-$AA$10)*AI24,$AA$10*AF24+(1-$AA$10)*AE24))</f>
        <v>71</v>
      </c>
      <c r="O24" s="71" t="n">
        <f aca="false">(I24-M24)*G24/1000</f>
        <v>61460.514</v>
      </c>
      <c r="Q24" s="71" t="n">
        <f aca="false">O24+Q23*(1+$AB$2)^0.25</f>
        <v>-10469210.8885013</v>
      </c>
      <c r="S24" s="106" t="n">
        <v>38625</v>
      </c>
      <c r="T24" s="71" t="n">
        <f aca="false">XNPV($AB$2,O24:$O$45,S24:$S$45)</f>
        <v>-4211082.36460215</v>
      </c>
      <c r="U24" s="71"/>
      <c r="V24" s="71" t="n">
        <f aca="false">L24+H24</f>
        <v>1984072.496</v>
      </c>
      <c r="W24" s="71" t="n">
        <f aca="false">$V$5/$X$2</f>
        <v>1437066.25668452</v>
      </c>
      <c r="X24" s="105"/>
      <c r="AB24" s="107"/>
      <c r="AD24" s="0" t="s">
        <v>176</v>
      </c>
      <c r="AE24" s="0" t="n">
        <v>67.3014482895748</v>
      </c>
      <c r="AF24" s="0" t="n">
        <v>63.9127834192171</v>
      </c>
      <c r="AG24" s="0" t="n">
        <v>55.4343575866189</v>
      </c>
      <c r="AH24" s="0" t="n">
        <v>55.0877780167264</v>
      </c>
      <c r="AI24" s="0" t="n">
        <f aca="false">AG24*$AL$8</f>
        <v>55.6410772362854</v>
      </c>
      <c r="AJ24" s="0" t="n">
        <f aca="false">AH24*$AL$8</f>
        <v>55.2932052403527</v>
      </c>
      <c r="AK24" s="71" t="n">
        <v>71</v>
      </c>
      <c r="AL24" s="0" t="n">
        <f aca="false">AL23*(1+$AA$12)^0.25</f>
        <v>1.06532146970093</v>
      </c>
      <c r="AN24" s="95" t="n">
        <f aca="false">(AJ24+AK24)/2</f>
        <v>63.1466026201763</v>
      </c>
      <c r="AO24" s="0" t="n">
        <f aca="false">+AO23</f>
        <v>82.7545820152566</v>
      </c>
      <c r="AQ24" s="95" t="n">
        <f aca="false">+D24</f>
        <v>1976770.066</v>
      </c>
      <c r="AS24" s="95" t="n">
        <f aca="false">+AS23</f>
        <v>106.145304813907</v>
      </c>
      <c r="AT24" s="43" t="n">
        <f aca="false">+G24</f>
        <v>20486838</v>
      </c>
      <c r="AU24" s="71" t="n">
        <f aca="false">+AS24*AT24/1000</f>
        <v>2174581.66418312</v>
      </c>
    </row>
    <row r="25" customFormat="false" ht="12.75" hidden="false" customHeight="false" outlineLevel="0" collapsed="false">
      <c r="B25" s="0" t="s">
        <v>177</v>
      </c>
      <c r="C25" s="8" t="n">
        <v>24684859</v>
      </c>
      <c r="D25" s="71" t="n">
        <f aca="false">E25*C25/1000</f>
        <v>1629200.694</v>
      </c>
      <c r="E25" s="71" t="n">
        <v>66</v>
      </c>
      <c r="G25" s="8" t="n">
        <v>21060134</v>
      </c>
      <c r="H25" s="71" t="n">
        <f aca="false">I25*G25/1000</f>
        <v>1368908.71</v>
      </c>
      <c r="I25" s="71" t="n">
        <v>65</v>
      </c>
      <c r="K25" s="8" t="n">
        <v>3624725</v>
      </c>
      <c r="L25" s="71" t="n">
        <f aca="false">K25*M25/1000</f>
        <v>246481.3</v>
      </c>
      <c r="M25" s="71" t="n">
        <f aca="false">IF($AA$5=1,AK25,IF($AA$5=2,$AA$10*AJ25+(1-$AA$10)*AI25,$AA$10*AF25+(1-$AA$10)*AE25))</f>
        <v>68</v>
      </c>
      <c r="O25" s="71" t="n">
        <f aca="false">(I25-M25)*G25/1000</f>
        <v>-63180.402</v>
      </c>
      <c r="Q25" s="71" t="n">
        <f aca="false">O25+Q24*(1+$AB$2)^0.25</f>
        <v>-10719429.0585974</v>
      </c>
      <c r="S25" s="106" t="n">
        <v>38717</v>
      </c>
      <c r="T25" s="71" t="n">
        <f aca="false">XNPV($AB$2,O25:$O$45,S25:$S$45)</f>
        <v>-4349507.02294934</v>
      </c>
      <c r="U25" s="71"/>
      <c r="V25" s="71" t="n">
        <f aca="false">L25+H25</f>
        <v>1615390.01</v>
      </c>
      <c r="W25" s="71" t="n">
        <f aca="false">$V$5/$X$2</f>
        <v>1437066.25668452</v>
      </c>
      <c r="X25" s="105"/>
      <c r="AB25" s="107"/>
      <c r="AD25" s="0" t="s">
        <v>177</v>
      </c>
      <c r="AE25" s="0" t="n">
        <v>37.9766279252328</v>
      </c>
      <c r="AF25" s="0" t="n">
        <v>37.1391876428594</v>
      </c>
      <c r="AG25" s="0" t="n">
        <v>44.3870953405018</v>
      </c>
      <c r="AH25" s="0" t="n">
        <v>45.2982387096774</v>
      </c>
      <c r="AI25" s="0" t="n">
        <f aca="false">AG25*$AL$8</f>
        <v>44.5526187667301</v>
      </c>
      <c r="AJ25" s="0" t="n">
        <f aca="false">AH25*$AL$8</f>
        <v>45.4671598705648</v>
      </c>
      <c r="AK25" s="71" t="n">
        <v>68</v>
      </c>
      <c r="AL25" s="0" t="n">
        <f aca="false">AL24*(1+$AA$12)^0.25</f>
        <v>1.0692941482091</v>
      </c>
      <c r="AN25" s="95" t="n">
        <f aca="false">(AJ25+AK25)/2</f>
        <v>56.7335799352824</v>
      </c>
      <c r="AO25" s="0" t="n">
        <f aca="false">+AO24</f>
        <v>82.7545820152566</v>
      </c>
      <c r="AQ25" s="95" t="n">
        <f aca="false">+D25</f>
        <v>1629200.694</v>
      </c>
      <c r="AS25" s="95" t="n">
        <f aca="false">+AS24</f>
        <v>106.145304813907</v>
      </c>
      <c r="AT25" s="43" t="n">
        <f aca="false">+G25</f>
        <v>21060134</v>
      </c>
      <c r="AU25" s="71" t="n">
        <f aca="false">+AS25*AT25/1000</f>
        <v>2235434.34285172</v>
      </c>
    </row>
    <row r="26" customFormat="false" ht="12.75" hidden="false" customHeight="false" outlineLevel="0" collapsed="false">
      <c r="A26" s="0" t="n">
        <v>2006</v>
      </c>
      <c r="B26" s="0" t="s">
        <v>174</v>
      </c>
      <c r="C26" s="8" t="n">
        <v>21949030</v>
      </c>
      <c r="D26" s="71" t="n">
        <f aca="false">E26*C26/1000</f>
        <v>1316941.8</v>
      </c>
      <c r="E26" s="71" t="n">
        <v>60</v>
      </c>
      <c r="G26" s="8" t="n">
        <v>21151029</v>
      </c>
      <c r="H26" s="71" t="n">
        <f aca="false">I26*G26/1000</f>
        <v>1247910.711</v>
      </c>
      <c r="I26" s="71" t="n">
        <v>59</v>
      </c>
      <c r="K26" s="8" t="n">
        <v>798000</v>
      </c>
      <c r="L26" s="71" t="n">
        <f aca="false">K26*M26/1000</f>
        <v>65436</v>
      </c>
      <c r="M26" s="71" t="n">
        <f aca="false">IF($AA$5=1,AK26,IF($AA$5=2,$AA$10*AJ26+(1-$AA$10)*AI26,$AA$10*AF26+(1-$AA$10)*AE26))</f>
        <v>82</v>
      </c>
      <c r="O26" s="71" t="n">
        <f aca="false">(I26-M26)*G26/1000</f>
        <v>-486473.667</v>
      </c>
      <c r="Q26" s="71" t="n">
        <f aca="false">O26+Q25*(1+$AB$2)^0.25</f>
        <v>-11397410.7683466</v>
      </c>
      <c r="S26" s="106" t="n">
        <v>38807</v>
      </c>
      <c r="T26" s="71" t="n">
        <f aca="false">XNPV($AB$2,O26:$O$45,S26:$S$45)</f>
        <v>-4361845.8299985</v>
      </c>
      <c r="U26" s="71"/>
      <c r="V26" s="71" t="n">
        <f aca="false">L26+H26</f>
        <v>1313346.711</v>
      </c>
      <c r="W26" s="71" t="n">
        <f aca="false">$V$5/$X$2</f>
        <v>1437066.25668452</v>
      </c>
      <c r="X26" s="105"/>
      <c r="AB26" s="107"/>
      <c r="AC26" s="0" t="n">
        <v>2006</v>
      </c>
      <c r="AD26" s="0" t="s">
        <v>174</v>
      </c>
      <c r="AE26" s="0" t="n">
        <v>39.417383412663</v>
      </c>
      <c r="AF26" s="0" t="n">
        <v>38.2249363373448</v>
      </c>
      <c r="AG26" s="0" t="n">
        <v>32.6325697900666</v>
      </c>
      <c r="AH26" s="0" t="n">
        <v>33.2006826932924</v>
      </c>
      <c r="AI26" s="0" t="n">
        <f aca="false">AG26*$AL$8</f>
        <v>32.7542595450922</v>
      </c>
      <c r="AJ26" s="0" t="n">
        <f aca="false">AH26*$AL$8</f>
        <v>33.3244909918611</v>
      </c>
      <c r="AK26" s="71" t="n">
        <v>82</v>
      </c>
      <c r="AL26" s="0" t="n">
        <f aca="false">AL25*(1+$AA$12)^0.25</f>
        <v>1.07328164118876</v>
      </c>
      <c r="AN26" s="95" t="n">
        <f aca="false">(AJ26+AK26)/2</f>
        <v>57.6622454959305</v>
      </c>
      <c r="AO26" s="0" t="n">
        <f aca="false">+AO25</f>
        <v>82.7545820152566</v>
      </c>
      <c r="AQ26" s="95" t="n">
        <f aca="false">+D26</f>
        <v>1316941.8</v>
      </c>
      <c r="AS26" s="95" t="n">
        <f aca="false">+AS25</f>
        <v>106.145304813907</v>
      </c>
      <c r="AT26" s="43" t="n">
        <f aca="false">+G26</f>
        <v>21151029</v>
      </c>
      <c r="AU26" s="71" t="n">
        <f aca="false">+AS26*AT26/1000</f>
        <v>2245082.42033278</v>
      </c>
    </row>
    <row r="27" customFormat="false" ht="12.75" hidden="false" customHeight="false" outlineLevel="0" collapsed="false">
      <c r="B27" s="0" t="s">
        <v>175</v>
      </c>
      <c r="C27" s="8" t="n">
        <v>21490395</v>
      </c>
      <c r="D27" s="71" t="n">
        <f aca="false">E27*C27/1000</f>
        <v>1332404.49</v>
      </c>
      <c r="E27" s="71" t="n">
        <v>62</v>
      </c>
      <c r="G27" s="8" t="n">
        <v>19575129</v>
      </c>
      <c r="H27" s="71" t="n">
        <f aca="false">I27*G27/1000</f>
        <v>1174507.74</v>
      </c>
      <c r="I27" s="71" t="n">
        <v>60</v>
      </c>
      <c r="K27" s="8" t="n">
        <v>1915266</v>
      </c>
      <c r="L27" s="71" t="n">
        <f aca="false">K27*M27/1000</f>
        <v>151306.014</v>
      </c>
      <c r="M27" s="71" t="n">
        <f aca="false">IF($AA$5=1,AK27,IF($AA$5=2,$AA$10*AJ27+(1-$AA$10)*AI27,$AA$10*AF27+(1-$AA$10)*AE27))</f>
        <v>79</v>
      </c>
      <c r="O27" s="71" t="n">
        <f aca="false">(I27-M27)*G27/1000</f>
        <v>-371927.451</v>
      </c>
      <c r="Q27" s="71" t="n">
        <f aca="false">O27+Q26*(1+$AB$2)^0.25</f>
        <v>-11972958.7495747</v>
      </c>
      <c r="S27" s="106" t="n">
        <v>38898</v>
      </c>
      <c r="T27" s="71" t="n">
        <f aca="false">XNPV($AB$2,O27:$O$45,S27:$S$45)</f>
        <v>-3944416.28829315</v>
      </c>
      <c r="U27" s="71"/>
      <c r="V27" s="71" t="n">
        <f aca="false">L27+H27</f>
        <v>1325813.754</v>
      </c>
      <c r="W27" s="71" t="n">
        <f aca="false">$V$5/$X$2</f>
        <v>1437066.25668452</v>
      </c>
      <c r="X27" s="105"/>
      <c r="AB27" s="107"/>
      <c r="AD27" s="0" t="s">
        <v>175</v>
      </c>
      <c r="AE27" s="0" t="n">
        <v>39.6585425510513</v>
      </c>
      <c r="AF27" s="0" t="n">
        <v>37.1950568829604</v>
      </c>
      <c r="AG27" s="0" t="n">
        <v>27.7343042293907</v>
      </c>
      <c r="AH27" s="0" t="n">
        <v>27.1602761290323</v>
      </c>
      <c r="AI27" s="0" t="n">
        <f aca="false">AG27*$AL$8</f>
        <v>27.8377279164982</v>
      </c>
      <c r="AJ27" s="0" t="n">
        <f aca="false">AH27*$AL$8</f>
        <v>27.2615592143006</v>
      </c>
      <c r="AK27" s="71" t="n">
        <v>79</v>
      </c>
      <c r="AL27" s="0" t="n">
        <f aca="false">AL26*(1+$AA$12)^0.25</f>
        <v>1.07728400388437</v>
      </c>
      <c r="AN27" s="95" t="n">
        <f aca="false">(AJ27+AK27)/2</f>
        <v>53.1307796071503</v>
      </c>
      <c r="AO27" s="0" t="n">
        <f aca="false">+AO26</f>
        <v>82.7545820152566</v>
      </c>
      <c r="AQ27" s="95" t="n">
        <f aca="false">+D27</f>
        <v>1332404.49</v>
      </c>
      <c r="AS27" s="95" t="n">
        <f aca="false">+AS26</f>
        <v>106.145304813907</v>
      </c>
      <c r="AT27" s="43" t="n">
        <f aca="false">+G27</f>
        <v>19575129</v>
      </c>
      <c r="AU27" s="71" t="n">
        <f aca="false">+AS27*AT27/1000</f>
        <v>2077808.03447654</v>
      </c>
    </row>
    <row r="28" customFormat="false" ht="12.75" hidden="false" customHeight="false" outlineLevel="0" collapsed="false">
      <c r="B28" s="0" t="s">
        <v>176</v>
      </c>
      <c r="C28" s="8" t="n">
        <v>28313503</v>
      </c>
      <c r="D28" s="71" t="n">
        <f aca="false">E28*C28/1000</f>
        <v>1925318.204</v>
      </c>
      <c r="E28" s="71" t="n">
        <v>68</v>
      </c>
      <c r="G28" s="8" t="n">
        <v>19753088</v>
      </c>
      <c r="H28" s="71" t="n">
        <f aca="false">I28*G28/1000</f>
        <v>1323456.896</v>
      </c>
      <c r="I28" s="71" t="n">
        <v>67</v>
      </c>
      <c r="K28" s="8" t="n">
        <v>8560415</v>
      </c>
      <c r="L28" s="71" t="n">
        <f aca="false">K28*M28/1000</f>
        <v>607789.465</v>
      </c>
      <c r="M28" s="71" t="n">
        <f aca="false">IF($AA$5=1,AK28,IF($AA$5=2,$AA$10*AJ28+(1-$AA$10)*AI28,$AA$10*AF28+(1-$AA$10)*AE28))</f>
        <v>71</v>
      </c>
      <c r="O28" s="71" t="n">
        <f aca="false">(I28-M28)*G28/1000</f>
        <v>-79012.352</v>
      </c>
      <c r="Q28" s="71" t="n">
        <f aca="false">O28+Q27*(1+$AB$2)^0.25</f>
        <v>-12265874.0887127</v>
      </c>
      <c r="S28" s="106" t="n">
        <v>38990</v>
      </c>
      <c r="T28" s="71" t="n">
        <f aca="false">XNPV($AB$2,O28:$O$45,S28:$S$45)</f>
        <v>-3636842.44458617</v>
      </c>
      <c r="U28" s="71"/>
      <c r="V28" s="71" t="n">
        <f aca="false">L28+H28</f>
        <v>1931246.361</v>
      </c>
      <c r="W28" s="71" t="n">
        <f aca="false">$V$5/$X$2</f>
        <v>1437066.25668452</v>
      </c>
      <c r="X28" s="105"/>
      <c r="AB28" s="107"/>
      <c r="AD28" s="0" t="s">
        <v>176</v>
      </c>
      <c r="AE28" s="0" t="n">
        <v>66.8483718282779</v>
      </c>
      <c r="AF28" s="0" t="n">
        <v>62.0998353995678</v>
      </c>
      <c r="AG28" s="0" t="n">
        <v>54.1491620071685</v>
      </c>
      <c r="AH28" s="0" t="n">
        <v>53.8885225806452</v>
      </c>
      <c r="AI28" s="0" t="n">
        <f aca="false">AG28*$AL$8</f>
        <v>54.3510890482164</v>
      </c>
      <c r="AJ28" s="0" t="n">
        <f aca="false">AH28*$AL$8</f>
        <v>54.0894776740908</v>
      </c>
      <c r="AK28" s="71" t="n">
        <v>71</v>
      </c>
      <c r="AL28" s="0" t="n">
        <f aca="false">AL27*(1+$AA$12)^0.25</f>
        <v>1.08130129174644</v>
      </c>
      <c r="AN28" s="95" t="n">
        <f aca="false">(AJ28+AK28)/2</f>
        <v>62.5447388370454</v>
      </c>
      <c r="AO28" s="0" t="n">
        <f aca="false">+AO27</f>
        <v>82.7545820152566</v>
      </c>
      <c r="AQ28" s="95" t="n">
        <f aca="false">+D28</f>
        <v>1925318.204</v>
      </c>
      <c r="AS28" s="95" t="n">
        <f aca="false">+AS27</f>
        <v>106.145304813907</v>
      </c>
      <c r="AT28" s="43" t="n">
        <f aca="false">+G28</f>
        <v>19753088</v>
      </c>
      <c r="AU28" s="71" t="n">
        <f aca="false">+AS28*AT28/1000</f>
        <v>2096697.54677592</v>
      </c>
    </row>
    <row r="29" customFormat="false" ht="12.75" hidden="false" customHeight="false" outlineLevel="0" collapsed="false">
      <c r="B29" s="0" t="s">
        <v>177</v>
      </c>
      <c r="C29" s="8" t="n">
        <v>25180516</v>
      </c>
      <c r="D29" s="71" t="n">
        <f aca="false">E29*C29/1000</f>
        <v>1561191.992</v>
      </c>
      <c r="E29" s="71" t="n">
        <v>62</v>
      </c>
      <c r="G29" s="8" t="n">
        <v>19795707</v>
      </c>
      <c r="H29" s="71" t="n">
        <f aca="false">I29*G29/1000</f>
        <v>1167946.713</v>
      </c>
      <c r="I29" s="71" t="n">
        <v>59</v>
      </c>
      <c r="K29" s="8" t="n">
        <v>5384808</v>
      </c>
      <c r="L29" s="71" t="n">
        <f aca="false">K29*M29/1000</f>
        <v>382321.368</v>
      </c>
      <c r="M29" s="71" t="n">
        <f aca="false">IF($AA$5=1,AK29,IF($AA$5=2,$AA$10*AJ29+(1-$AA$10)*AI29,$AA$10*AF29+(1-$AA$10)*AE29))</f>
        <v>71</v>
      </c>
      <c r="O29" s="71" t="n">
        <f aca="false">(I29-M29)*G29/1000</f>
        <v>-237548.484</v>
      </c>
      <c r="Q29" s="71" t="n">
        <f aca="false">O29+Q28*(1+$AB$2)^0.25</f>
        <v>-12722558.6411074</v>
      </c>
      <c r="S29" s="106" t="n">
        <v>39082</v>
      </c>
      <c r="T29" s="71" t="n">
        <f aca="false">XNPV($AB$2,O29:$O$45,S29:$S$45)</f>
        <v>-3621919.64220309</v>
      </c>
      <c r="U29" s="71"/>
      <c r="V29" s="71" t="n">
        <f aca="false">L29+H29</f>
        <v>1550268.081</v>
      </c>
      <c r="W29" s="71" t="n">
        <f aca="false">$V$5/$X$2</f>
        <v>1437066.25668452</v>
      </c>
      <c r="X29" s="105"/>
      <c r="AB29" s="107"/>
      <c r="AD29" s="0" t="s">
        <v>177</v>
      </c>
      <c r="AE29" s="0" t="n">
        <v>37.4567951883444</v>
      </c>
      <c r="AF29" s="0" t="n">
        <v>36.8747461846439</v>
      </c>
      <c r="AG29" s="0" t="n">
        <v>43.6349982078853</v>
      </c>
      <c r="AH29" s="0" t="n">
        <v>44.6770415770609</v>
      </c>
      <c r="AI29" s="0" t="n">
        <f aca="false">AG29*$AL$8</f>
        <v>43.797716997016</v>
      </c>
      <c r="AJ29" s="0" t="n">
        <f aca="false">AH29*$AL$8</f>
        <v>44.8436462385927</v>
      </c>
      <c r="AK29" s="71" t="n">
        <v>71</v>
      </c>
      <c r="AL29" s="0" t="n">
        <f aca="false">AL28*(1+$AA$12)^0.25</f>
        <v>1.08533356043224</v>
      </c>
      <c r="AN29" s="95" t="n">
        <f aca="false">(AJ29+AK29)/2</f>
        <v>57.9218231192963</v>
      </c>
      <c r="AO29" s="0" t="n">
        <f aca="false">+AO28</f>
        <v>82.7545820152566</v>
      </c>
      <c r="AQ29" s="95" t="n">
        <f aca="false">+D29</f>
        <v>1561191.992</v>
      </c>
      <c r="AS29" s="95" t="n">
        <f aca="false">+AS28</f>
        <v>106.145304813907</v>
      </c>
      <c r="AT29" s="43" t="n">
        <f aca="false">+G29</f>
        <v>19795707</v>
      </c>
      <c r="AU29" s="71" t="n">
        <f aca="false">+AS29*AT29/1000</f>
        <v>2101221.35352178</v>
      </c>
    </row>
    <row r="30" customFormat="false" ht="12.75" hidden="false" customHeight="false" outlineLevel="0" collapsed="false">
      <c r="A30" s="0" t="n">
        <v>2007</v>
      </c>
      <c r="B30" s="0" t="s">
        <v>174</v>
      </c>
      <c r="C30" s="8" t="n">
        <v>21684137</v>
      </c>
      <c r="D30" s="71" t="n">
        <f aca="false">E30*C30/1000</f>
        <v>1322732.357</v>
      </c>
      <c r="E30" s="71" t="n">
        <v>61</v>
      </c>
      <c r="G30" s="8" t="n">
        <v>19359819</v>
      </c>
      <c r="H30" s="71" t="n">
        <f aca="false">I30*G30/1000</f>
        <v>1122869.502</v>
      </c>
      <c r="I30" s="71" t="n">
        <v>58</v>
      </c>
      <c r="K30" s="8" t="n">
        <v>2324318</v>
      </c>
      <c r="L30" s="71" t="n">
        <f aca="false">K30*M30/1000</f>
        <v>188269.758</v>
      </c>
      <c r="M30" s="71" t="n">
        <f aca="false">IF($AA$5=1,AK30,IF($AA$5=2,$AA$10*AJ30+(1-$AA$10)*AI30,$AA$10*AF30+(1-$AA$10)*AE30))</f>
        <v>81</v>
      </c>
      <c r="O30" s="71" t="n">
        <f aca="false">(I30-M30)*G30/1000</f>
        <v>-445275.837</v>
      </c>
      <c r="Q30" s="71" t="n">
        <f aca="false">O30+Q29*(1+$AB$2)^0.25</f>
        <v>-13395129.4479049</v>
      </c>
      <c r="S30" s="106" t="n">
        <v>39172</v>
      </c>
      <c r="T30" s="71" t="n">
        <f aca="false">XNPV($AB$2,O30:$O$45,S30:$S$45)</f>
        <v>-3443999.14636132</v>
      </c>
      <c r="U30" s="71"/>
      <c r="V30" s="71" t="n">
        <f aca="false">L30+H30</f>
        <v>1311139.26</v>
      </c>
      <c r="W30" s="71" t="n">
        <f aca="false">$V$5/$X$2</f>
        <v>1437066.25668452</v>
      </c>
      <c r="X30" s="105"/>
      <c r="AB30" s="107"/>
      <c r="AC30" s="0" t="n">
        <v>2007</v>
      </c>
      <c r="AD30" s="0" t="s">
        <v>174</v>
      </c>
      <c r="AE30" s="0" t="n">
        <v>39.5016128030302</v>
      </c>
      <c r="AF30" s="0" t="n">
        <v>38.3051334696625</v>
      </c>
      <c r="AG30" s="0" t="n">
        <v>33.3831292882745</v>
      </c>
      <c r="AH30" s="0" t="n">
        <v>33.9567828469022</v>
      </c>
      <c r="AI30" s="0" t="n">
        <f aca="false">AG30*$AL$8</f>
        <v>33.5076179464223</v>
      </c>
      <c r="AJ30" s="0" t="n">
        <f aca="false">AH30*$AL$8</f>
        <v>34.0834107101898</v>
      </c>
      <c r="AK30" s="71" t="n">
        <v>81</v>
      </c>
      <c r="AL30" s="0" t="n">
        <f aca="false">AL29*(1+$AA$12)^0.25</f>
        <v>1.08938086580659</v>
      </c>
      <c r="AN30" s="95" t="n">
        <f aca="false">(AJ30+AK30)/2</f>
        <v>57.5417053550949</v>
      </c>
      <c r="AO30" s="0" t="n">
        <f aca="false">+AO29</f>
        <v>82.7545820152566</v>
      </c>
      <c r="AQ30" s="95" t="n">
        <f aca="false">+D30</f>
        <v>1322732.357</v>
      </c>
      <c r="AS30" s="95" t="n">
        <f aca="false">+AS29</f>
        <v>106.145304813907</v>
      </c>
      <c r="AT30" s="43" t="n">
        <f aca="false">+G30</f>
        <v>19359819</v>
      </c>
      <c r="AU30" s="71" t="n">
        <f aca="false">+AS30*AT30/1000</f>
        <v>2054953.88889706</v>
      </c>
    </row>
    <row r="31" customFormat="false" ht="12.75" hidden="false" customHeight="false" outlineLevel="0" collapsed="false">
      <c r="B31" s="0" t="s">
        <v>175</v>
      </c>
      <c r="C31" s="8" t="n">
        <v>22053673</v>
      </c>
      <c r="D31" s="71" t="n">
        <f aca="false">E31*C31/1000</f>
        <v>1389381.399</v>
      </c>
      <c r="E31" s="71" t="n">
        <v>63</v>
      </c>
      <c r="G31" s="8" t="n">
        <v>18428604</v>
      </c>
      <c r="H31" s="71" t="n">
        <f aca="false">I31*G31/1000</f>
        <v>1105716.24</v>
      </c>
      <c r="I31" s="71" t="n">
        <v>60</v>
      </c>
      <c r="K31" s="8" t="n">
        <v>3625069</v>
      </c>
      <c r="L31" s="71" t="n">
        <f aca="false">K31*M31/1000</f>
        <v>279130.313</v>
      </c>
      <c r="M31" s="71" t="n">
        <f aca="false">IF($AA$5=1,AK31,IF($AA$5=2,$AA$10*AJ31+(1-$AA$10)*AI31,$AA$10*AF31+(1-$AA$10)*AE31))</f>
        <v>77</v>
      </c>
      <c r="O31" s="71" t="n">
        <f aca="false">(I31-M31)*G31/1000</f>
        <v>-313286.268</v>
      </c>
      <c r="Q31" s="71" t="n">
        <f aca="false">O31+Q30*(1+$AB$2)^0.25</f>
        <v>-13947726.5046528</v>
      </c>
      <c r="S31" s="106" t="n">
        <v>39263</v>
      </c>
      <c r="T31" s="71" t="n">
        <f aca="false">XNPV($AB$2,O31:$O$45,S31:$S$45)</f>
        <v>-3052148.946742</v>
      </c>
      <c r="U31" s="71"/>
      <c r="V31" s="71" t="n">
        <f aca="false">L31+H31</f>
        <v>1384846.553</v>
      </c>
      <c r="W31" s="71" t="n">
        <f aca="false">$V$5/$X$2</f>
        <v>1437066.25668452</v>
      </c>
      <c r="X31" s="105"/>
      <c r="AB31" s="107"/>
      <c r="AD31" s="0" t="s">
        <v>175</v>
      </c>
      <c r="AE31" s="0" t="n">
        <v>39.6585425510513</v>
      </c>
      <c r="AF31" s="0" t="n">
        <v>37.1950568829604</v>
      </c>
      <c r="AG31" s="0" t="n">
        <v>28.6312867383513</v>
      </c>
      <c r="AH31" s="0" t="n">
        <v>28.2435248267622</v>
      </c>
      <c r="AI31" s="0" t="n">
        <f aca="false">AG31*$AL$8</f>
        <v>28.7380553530106</v>
      </c>
      <c r="AJ31" s="0" t="n">
        <f aca="false">AH31*$AL$8</f>
        <v>28.3488474427665</v>
      </c>
      <c r="AK31" s="71" t="n">
        <v>77</v>
      </c>
      <c r="AL31" s="0" t="n">
        <f aca="false">AL30*(1+$AA$12)^0.25</f>
        <v>1.09344326394264</v>
      </c>
      <c r="AN31" s="95" t="n">
        <f aca="false">(AJ31+AK31)/2</f>
        <v>52.6744237213832</v>
      </c>
      <c r="AO31" s="0" t="n">
        <f aca="false">+AO30</f>
        <v>82.7545820152566</v>
      </c>
      <c r="AQ31" s="95" t="n">
        <f aca="false">+D31</f>
        <v>1389381.399</v>
      </c>
      <c r="AS31" s="95" t="n">
        <f aca="false">+AS30</f>
        <v>106.145304813907</v>
      </c>
      <c r="AT31" s="43" t="n">
        <f aca="false">+G31</f>
        <v>18428604</v>
      </c>
      <c r="AU31" s="71" t="n">
        <f aca="false">+AS31*AT31/1000</f>
        <v>1956109.78887478</v>
      </c>
    </row>
    <row r="32" customFormat="false" ht="12.75" hidden="false" customHeight="false" outlineLevel="0" collapsed="false">
      <c r="B32" s="0" t="s">
        <v>176</v>
      </c>
      <c r="C32" s="8" t="n">
        <v>29732503</v>
      </c>
      <c r="D32" s="71" t="n">
        <f aca="false">E32*C32/1000</f>
        <v>2021810.204</v>
      </c>
      <c r="E32" s="71" t="n">
        <v>68</v>
      </c>
      <c r="G32" s="8" t="n">
        <v>19684263</v>
      </c>
      <c r="H32" s="71" t="n">
        <f aca="false">I32*G32/1000</f>
        <v>1318845.621</v>
      </c>
      <c r="I32" s="71" t="n">
        <v>67</v>
      </c>
      <c r="K32" s="8" t="n">
        <v>10048240</v>
      </c>
      <c r="L32" s="71" t="n">
        <f aca="false">K32*M32/1000</f>
        <v>703376.8</v>
      </c>
      <c r="M32" s="71" t="n">
        <f aca="false">IF($AA$5=1,AK32,IF($AA$5=2,$AA$10*AJ32+(1-$AA$10)*AI32,$AA$10*AF32+(1-$AA$10)*AE32))</f>
        <v>70</v>
      </c>
      <c r="O32" s="71" t="n">
        <f aca="false">(I32-M32)*G32/1000</f>
        <v>-59052.789</v>
      </c>
      <c r="Q32" s="71" t="n">
        <f aca="false">O32+Q31*(1+$AB$2)^0.25</f>
        <v>-14255962.5093917</v>
      </c>
      <c r="S32" s="106" t="n">
        <v>39355</v>
      </c>
      <c r="T32" s="71" t="n">
        <f aca="false">XNPV($AB$2,O32:$O$45,S32:$S$45)</f>
        <v>-2788199.62597535</v>
      </c>
      <c r="U32" s="71"/>
      <c r="V32" s="71" t="n">
        <f aca="false">L32+H32</f>
        <v>2022222.421</v>
      </c>
      <c r="W32" s="71" t="n">
        <f aca="false">$V$5/$X$2</f>
        <v>1437066.25668452</v>
      </c>
      <c r="X32" s="105"/>
      <c r="AB32" s="107"/>
      <c r="AD32" s="0" t="s">
        <v>176</v>
      </c>
      <c r="AE32" s="0" t="n">
        <v>66.4244620337615</v>
      </c>
      <c r="AF32" s="0" t="n">
        <v>61.1527774595592</v>
      </c>
      <c r="AG32" s="0" t="n">
        <v>54.933509390681</v>
      </c>
      <c r="AH32" s="0" t="n">
        <v>54.7596231541219</v>
      </c>
      <c r="AI32" s="0" t="n">
        <f aca="false">AG32*$AL$8</f>
        <v>55.1383613328804</v>
      </c>
      <c r="AJ32" s="0" t="n">
        <f aca="false">AH32*$AL$8</f>
        <v>54.96382665908</v>
      </c>
      <c r="AK32" s="71" t="n">
        <v>70</v>
      </c>
      <c r="AL32" s="0" t="n">
        <f aca="false">AL31*(1+$AA$12)^0.25</f>
        <v>1.09752081112264</v>
      </c>
      <c r="AN32" s="95" t="n">
        <f aca="false">(AJ32+AK32)/2</f>
        <v>62.48191332954</v>
      </c>
      <c r="AO32" s="0" t="n">
        <f aca="false">+AO31</f>
        <v>82.7545820152566</v>
      </c>
      <c r="AQ32" s="95" t="n">
        <f aca="false">+D32</f>
        <v>2021810.204</v>
      </c>
      <c r="AS32" s="95" t="n">
        <f aca="false">+AS31</f>
        <v>106.145304813907</v>
      </c>
      <c r="AT32" s="43" t="n">
        <f aca="false">+G32</f>
        <v>19684263</v>
      </c>
      <c r="AU32" s="71" t="n">
        <f aca="false">+AS32*AT32/1000</f>
        <v>2089392.0961721</v>
      </c>
    </row>
    <row r="33" customFormat="false" ht="12.75" hidden="false" customHeight="false" outlineLevel="0" collapsed="false">
      <c r="B33" s="0" t="s">
        <v>177</v>
      </c>
      <c r="C33" s="8" t="n">
        <v>26183861</v>
      </c>
      <c r="D33" s="71" t="n">
        <f aca="false">E33*C33/1000</f>
        <v>1623399.382</v>
      </c>
      <c r="E33" s="71" t="n">
        <v>62</v>
      </c>
      <c r="G33" s="8" t="n">
        <v>19591520</v>
      </c>
      <c r="H33" s="71" t="n">
        <f aca="false">I33*G33/1000</f>
        <v>1155899.68</v>
      </c>
      <c r="I33" s="71" t="n">
        <v>59</v>
      </c>
      <c r="K33" s="8" t="n">
        <v>6592341</v>
      </c>
      <c r="L33" s="71" t="n">
        <f aca="false">K33*M33/1000</f>
        <v>468056.211</v>
      </c>
      <c r="M33" s="71" t="n">
        <f aca="false">IF($AA$5=1,AK33,IF($AA$5=2,$AA$10*AJ33+(1-$AA$10)*AI33,$AA$10*AF33+(1-$AA$10)*AE33))</f>
        <v>71</v>
      </c>
      <c r="O33" s="71" t="n">
        <f aca="false">(I33-M33)*G33/1000</f>
        <v>-235098.24</v>
      </c>
      <c r="Q33" s="71" t="n">
        <f aca="false">O33+Q32*(1+$AB$2)^0.25</f>
        <v>-14745750.7578572</v>
      </c>
      <c r="S33" s="106" t="n">
        <v>39447</v>
      </c>
      <c r="T33" s="71" t="n">
        <f aca="false">XNPV($AB$2,O33:$O$45,S33:$S$45)</f>
        <v>-2778308.76631668</v>
      </c>
      <c r="U33" s="71"/>
      <c r="V33" s="71" t="n">
        <f aca="false">L33+H33</f>
        <v>1623955.891</v>
      </c>
      <c r="W33" s="71" t="n">
        <f aca="false">$V$5/$X$2</f>
        <v>1437066.25668452</v>
      </c>
      <c r="X33" s="105"/>
      <c r="AB33" s="107"/>
      <c r="AD33" s="0" t="s">
        <v>177</v>
      </c>
      <c r="AE33" s="0" t="n">
        <v>37.539680494239</v>
      </c>
      <c r="AF33" s="0" t="n">
        <v>36.9459827448452</v>
      </c>
      <c r="AG33" s="0" t="n">
        <v>44.3269930704898</v>
      </c>
      <c r="AH33" s="0" t="n">
        <v>45.3741954599761</v>
      </c>
      <c r="AI33" s="0" t="n">
        <f aca="false">AG33*$AL$8</f>
        <v>44.4922923700079</v>
      </c>
      <c r="AJ33" s="0" t="n">
        <f aca="false">AH33*$AL$8</f>
        <v>45.5433998703408</v>
      </c>
      <c r="AK33" s="71" t="n">
        <v>71</v>
      </c>
      <c r="AL33" s="0" t="n">
        <f aca="false">AL32*(1+$AA$12)^0.25</f>
        <v>1.10161356383873</v>
      </c>
      <c r="AN33" s="95" t="n">
        <f aca="false">(AJ33+AK33)/2</f>
        <v>58.2716999351704</v>
      </c>
      <c r="AO33" s="0" t="n">
        <f aca="false">+AO32</f>
        <v>82.7545820152566</v>
      </c>
      <c r="AQ33" s="95" t="n">
        <f aca="false">+D33</f>
        <v>1623399.382</v>
      </c>
      <c r="AS33" s="95" t="n">
        <f aca="false">+AS32</f>
        <v>106.145304813907</v>
      </c>
      <c r="AT33" s="43" t="n">
        <f aca="false">+G33</f>
        <v>19591520</v>
      </c>
      <c r="AU33" s="71" t="n">
        <f aca="false">+AS33*AT33/1000</f>
        <v>2079547.86216775</v>
      </c>
    </row>
    <row r="34" customFormat="false" ht="12.75" hidden="false" customHeight="false" outlineLevel="0" collapsed="false">
      <c r="A34" s="0" t="n">
        <v>2008</v>
      </c>
      <c r="B34" s="0" t="s">
        <v>174</v>
      </c>
      <c r="C34" s="8" t="n">
        <v>22554855</v>
      </c>
      <c r="D34" s="71" t="n">
        <f aca="false">E34*C34/1000</f>
        <v>1375846.155</v>
      </c>
      <c r="E34" s="71" t="n">
        <v>61</v>
      </c>
      <c r="G34" s="8" t="n">
        <v>19153515</v>
      </c>
      <c r="H34" s="71" t="n">
        <f aca="false">I34*G34/1000</f>
        <v>1110903.87</v>
      </c>
      <c r="I34" s="71" t="n">
        <v>58</v>
      </c>
      <c r="K34" s="8" t="n">
        <v>3401340</v>
      </c>
      <c r="L34" s="71" t="n">
        <f aca="false">K34*M34/1000</f>
        <v>268705.86</v>
      </c>
      <c r="M34" s="71" t="n">
        <f aca="false">IF($AA$5=1,AK34,IF($AA$5=2,$AA$10*AJ34+(1-$AA$10)*AI34,$AA$10*AF34+(1-$AA$10)*AE34))</f>
        <v>79</v>
      </c>
      <c r="O34" s="71" t="n">
        <f aca="false">(I34-M34)*G34/1000</f>
        <v>-402223.815</v>
      </c>
      <c r="Q34" s="71" t="n">
        <f aca="false">O34+Q33*(1+$AB$2)^0.25</f>
        <v>-15411414.8970636</v>
      </c>
      <c r="S34" s="106" t="n">
        <v>39538</v>
      </c>
      <c r="T34" s="71" t="n">
        <f aca="false">XNPV($AB$2,O34:$O$45,S34:$S$45)</f>
        <v>-2588520.68979111</v>
      </c>
      <c r="U34" s="71"/>
      <c r="V34" s="71" t="n">
        <f aca="false">L34+H34</f>
        <v>1379609.73</v>
      </c>
      <c r="W34" s="71" t="n">
        <f aca="false">$V$5/$X$2</f>
        <v>1437066.25668452</v>
      </c>
      <c r="X34" s="105"/>
      <c r="AB34" s="107"/>
      <c r="AC34" s="0" t="n">
        <v>2008</v>
      </c>
      <c r="AD34" s="0" t="s">
        <v>174</v>
      </c>
      <c r="AE34" s="0" t="n">
        <v>39.5870719550824</v>
      </c>
      <c r="AF34" s="0" t="n">
        <v>38.51243346749</v>
      </c>
      <c r="AG34" s="0" t="n">
        <v>31.8942011123471</v>
      </c>
      <c r="AH34" s="0" t="n">
        <v>32.5627699542702</v>
      </c>
      <c r="AI34" s="0" t="n">
        <f aca="false">AG34*$AL$8</f>
        <v>32.0131374249044</v>
      </c>
      <c r="AJ34" s="0" t="n">
        <f aca="false">AH34*$AL$8</f>
        <v>32.6841994195003</v>
      </c>
      <c r="AK34" s="71" t="n">
        <v>79</v>
      </c>
      <c r="AL34" s="0" t="n">
        <f aca="false">AL33*(1+$AA$12)^0.25</f>
        <v>1.10572157879369</v>
      </c>
      <c r="AN34" s="95" t="n">
        <f aca="false">(AJ34+AK34)/2</f>
        <v>55.8420997097502</v>
      </c>
      <c r="AO34" s="0" t="n">
        <f aca="false">+AO33</f>
        <v>82.7545820152566</v>
      </c>
      <c r="AQ34" s="95" t="n">
        <f aca="false">+D34</f>
        <v>1375846.155</v>
      </c>
      <c r="AS34" s="95" t="n">
        <f aca="false">+AS33</f>
        <v>106.145304813907</v>
      </c>
      <c r="AT34" s="43" t="n">
        <f aca="false">+G34</f>
        <v>19153515</v>
      </c>
      <c r="AU34" s="71" t="n">
        <f aca="false">+AS34*AT34/1000</f>
        <v>2033055.68793273</v>
      </c>
    </row>
    <row r="35" customFormat="false" ht="12.75" hidden="false" customHeight="false" outlineLevel="0" collapsed="false">
      <c r="B35" s="0" t="s">
        <v>175</v>
      </c>
      <c r="C35" s="8" t="n">
        <v>23429388</v>
      </c>
      <c r="D35" s="71" t="n">
        <f aca="false">E35*C35/1000</f>
        <v>1476051.444</v>
      </c>
      <c r="E35" s="71" t="n">
        <v>63</v>
      </c>
      <c r="G35" s="8" t="n">
        <v>18763391</v>
      </c>
      <c r="H35" s="71" t="n">
        <f aca="false">I35*G35/1000</f>
        <v>1125803.46</v>
      </c>
      <c r="I35" s="71" t="n">
        <v>60</v>
      </c>
      <c r="K35" s="8" t="n">
        <v>4665997</v>
      </c>
      <c r="L35" s="71" t="n">
        <f aca="false">K35*M35/1000</f>
        <v>359281.769</v>
      </c>
      <c r="M35" s="71" t="n">
        <f aca="false">IF($AA$5=1,AK35,IF($AA$5=2,$AA$10*AJ35+(1-$AA$10)*AI35,$AA$10*AF35+(1-$AA$10)*AE35))</f>
        <v>77</v>
      </c>
      <c r="O35" s="71" t="n">
        <f aca="false">(I35-M35)*G35/1000</f>
        <v>-318977.647</v>
      </c>
      <c r="Q35" s="71" t="n">
        <f aca="false">O35+Q34*(1+$AB$2)^0.25</f>
        <v>-16005725.2960971</v>
      </c>
      <c r="S35" s="106" t="n">
        <v>39629</v>
      </c>
      <c r="T35" s="71" t="n">
        <f aca="false">XNPV($AB$2,O35:$O$45,S35:$S$45)</f>
        <v>-2225248.21907634</v>
      </c>
      <c r="U35" s="71"/>
      <c r="V35" s="71" t="n">
        <f aca="false">L35+H35</f>
        <v>1485085.229</v>
      </c>
      <c r="W35" s="71" t="n">
        <f aca="false">$V$5/$X$2</f>
        <v>1437066.25668452</v>
      </c>
      <c r="X35" s="105"/>
      <c r="AB35" s="107"/>
      <c r="AD35" s="0" t="s">
        <v>175</v>
      </c>
      <c r="AE35" s="0" t="n">
        <v>39.7874613083874</v>
      </c>
      <c r="AF35" s="0" t="n">
        <v>37.4356572417904</v>
      </c>
      <c r="AG35" s="0" t="n">
        <v>28.9011089366786</v>
      </c>
      <c r="AH35" s="0" t="n">
        <v>28.6042729749104</v>
      </c>
      <c r="AI35" s="0" t="n">
        <f aca="false">AG35*$AL$8</f>
        <v>29.008883742313</v>
      </c>
      <c r="AJ35" s="0" t="n">
        <f aca="false">AH35*$AL$8</f>
        <v>28.7109408528433</v>
      </c>
      <c r="AK35" s="71" t="n">
        <v>77</v>
      </c>
      <c r="AL35" s="0" t="n">
        <f aca="false">AL34*(1+$AA$12)^0.25</f>
        <v>1.10984491290178</v>
      </c>
      <c r="AN35" s="95" t="n">
        <f aca="false">(AJ35+AK35)/2</f>
        <v>52.8554704264217</v>
      </c>
      <c r="AO35" s="0" t="n">
        <f aca="false">+AO34</f>
        <v>82.7545820152566</v>
      </c>
      <c r="AQ35" s="95" t="n">
        <f aca="false">+D35</f>
        <v>1476051.444</v>
      </c>
      <c r="AS35" s="95" t="n">
        <f aca="false">+AS34</f>
        <v>106.145304813907</v>
      </c>
      <c r="AT35" s="43" t="n">
        <f aca="false">+G35</f>
        <v>18763391</v>
      </c>
      <c r="AU35" s="71" t="n">
        <f aca="false">+AS35*AT35/1000</f>
        <v>1991645.85703751</v>
      </c>
    </row>
    <row r="36" customFormat="false" ht="12.75" hidden="false" customHeight="false" outlineLevel="0" collapsed="false">
      <c r="B36" s="0" t="s">
        <v>176</v>
      </c>
      <c r="C36" s="8" t="n">
        <v>31332995</v>
      </c>
      <c r="D36" s="71" t="n">
        <f aca="false">E36*C36/1000</f>
        <v>2130643.66</v>
      </c>
      <c r="E36" s="71" t="n">
        <v>68</v>
      </c>
      <c r="G36" s="8" t="n">
        <v>19294144</v>
      </c>
      <c r="H36" s="71" t="n">
        <f aca="false">I36*G36/1000</f>
        <v>1292707.648</v>
      </c>
      <c r="I36" s="71" t="n">
        <v>67</v>
      </c>
      <c r="K36" s="8" t="n">
        <v>12038851</v>
      </c>
      <c r="L36" s="71" t="n">
        <f aca="false">K36*M36/1000</f>
        <v>854758.421</v>
      </c>
      <c r="M36" s="71" t="n">
        <f aca="false">IF($AA$5=1,AK36,IF($AA$5=2,$AA$10*AJ36+(1-$AA$10)*AI36,$AA$10*AF36+(1-$AA$10)*AE36))</f>
        <v>71</v>
      </c>
      <c r="O36" s="71" t="n">
        <f aca="false">(I36-M36)*G36/1000</f>
        <v>-77176.576</v>
      </c>
      <c r="Q36" s="71" t="n">
        <f aca="false">O36+Q35*(1+$AB$2)^0.25</f>
        <v>-16368852.281161</v>
      </c>
      <c r="S36" s="106" t="n">
        <v>39721</v>
      </c>
      <c r="T36" s="71" t="n">
        <f aca="false">XNPV($AB$2,O36:$O$45,S36:$S$45)</f>
        <v>-1940609.48631144</v>
      </c>
      <c r="U36" s="71"/>
      <c r="V36" s="71" t="n">
        <f aca="false">L36+H36</f>
        <v>2147466.069</v>
      </c>
      <c r="W36" s="71" t="n">
        <f aca="false">$V$5/$X$2</f>
        <v>1437066.25668452</v>
      </c>
      <c r="X36" s="105"/>
      <c r="AB36" s="107"/>
      <c r="AD36" s="0" t="s">
        <v>176</v>
      </c>
      <c r="AE36" s="0" t="n">
        <v>66.6526131697167</v>
      </c>
      <c r="AF36" s="0" t="n">
        <v>60.7839751930161</v>
      </c>
      <c r="AG36" s="0" t="n">
        <v>55.5793400238949</v>
      </c>
      <c r="AH36" s="0" t="n">
        <v>55.2784887694146</v>
      </c>
      <c r="AI36" s="0" t="n">
        <f aca="false">AG36*$AL$8</f>
        <v>55.7866003259645</v>
      </c>
      <c r="AJ36" s="0" t="n">
        <f aca="false">AH36*$AL$8</f>
        <v>55.4846271703991</v>
      </c>
      <c r="AK36" s="71" t="n">
        <v>71</v>
      </c>
      <c r="AL36" s="0" t="n">
        <f aca="false">AL35*(1+$AA$12)^0.25</f>
        <v>1.11398362328948</v>
      </c>
      <c r="AN36" s="95" t="n">
        <f aca="false">(AJ36+AK36)/2</f>
        <v>63.2423135851996</v>
      </c>
      <c r="AO36" s="0" t="n">
        <f aca="false">+AO35</f>
        <v>82.7545820152566</v>
      </c>
      <c r="AQ36" s="95" t="n">
        <f aca="false">+D36</f>
        <v>2130643.66</v>
      </c>
      <c r="AS36" s="95" t="n">
        <f aca="false">+AS35</f>
        <v>106.145304813907</v>
      </c>
      <c r="AT36" s="43" t="n">
        <f aca="false">+G36</f>
        <v>19294144</v>
      </c>
      <c r="AU36" s="71" t="n">
        <f aca="false">+AS36*AT36/1000</f>
        <v>2047982.79600341</v>
      </c>
    </row>
    <row r="37" customFormat="false" ht="12.75" hidden="false" customHeight="false" outlineLevel="0" collapsed="false">
      <c r="B37" s="0" t="s">
        <v>177</v>
      </c>
      <c r="C37" s="8" t="n">
        <v>27099273</v>
      </c>
      <c r="D37" s="71" t="n">
        <f aca="false">E37*C37/1000</f>
        <v>1680154.926</v>
      </c>
      <c r="E37" s="71" t="n">
        <v>62</v>
      </c>
      <c r="G37" s="8" t="n">
        <v>18854008</v>
      </c>
      <c r="H37" s="71" t="n">
        <f aca="false">I37*G37/1000</f>
        <v>1112386.472</v>
      </c>
      <c r="I37" s="71" t="n">
        <v>59</v>
      </c>
      <c r="K37" s="8" t="n">
        <v>8245265</v>
      </c>
      <c r="L37" s="71" t="n">
        <f aca="false">K37*M37/1000</f>
        <v>577168.55</v>
      </c>
      <c r="M37" s="71" t="n">
        <f aca="false">IF($AA$5=1,AK37,IF($AA$5=2,$AA$10*AJ37+(1-$AA$10)*AI37,$AA$10*AF37+(1-$AA$10)*AE37))</f>
        <v>70</v>
      </c>
      <c r="O37" s="71" t="n">
        <f aca="false">(I37-M37)*G37/1000</f>
        <v>-207394.088</v>
      </c>
      <c r="Q37" s="71" t="n">
        <f aca="false">O37+Q36*(1+$AB$2)^0.25</f>
        <v>-16868684.2261848</v>
      </c>
      <c r="S37" s="106" t="n">
        <v>39813</v>
      </c>
      <c r="T37" s="71" t="n">
        <f aca="false">XNPV($AB$2,O37:$O$45,S37:$S$45)</f>
        <v>-1897000.16137608</v>
      </c>
      <c r="U37" s="71"/>
      <c r="V37" s="71" t="n">
        <f aca="false">L37+H37</f>
        <v>1689555.022</v>
      </c>
      <c r="W37" s="71" t="n">
        <f aca="false">$V$5/$X$2</f>
        <v>1437066.25668452</v>
      </c>
      <c r="X37" s="105"/>
      <c r="AB37" s="107"/>
      <c r="AD37" s="0" t="s">
        <v>177</v>
      </c>
      <c r="AE37" s="0" t="n">
        <v>37.6847312707286</v>
      </c>
      <c r="AF37" s="0" t="n">
        <v>37.2080406895398</v>
      </c>
      <c r="AG37" s="0" t="n">
        <v>43.5537390681004</v>
      </c>
      <c r="AH37" s="0" t="n">
        <v>44.5591938351255</v>
      </c>
      <c r="AI37" s="0" t="n">
        <f aca="false">AG37*$AL$8</f>
        <v>43.7161548346718</v>
      </c>
      <c r="AJ37" s="0" t="n">
        <f aca="false">AH37*$AL$8</f>
        <v>44.7253590319464</v>
      </c>
      <c r="AK37" s="71" t="n">
        <v>70</v>
      </c>
      <c r="AL37" s="0" t="n">
        <f aca="false">AL36*(1+$AA$12)^0.25</f>
        <v>1.11813776729631</v>
      </c>
      <c r="AN37" s="95" t="n">
        <f aca="false">(AJ37+AK37)/2</f>
        <v>57.3626795159732</v>
      </c>
      <c r="AO37" s="0" t="n">
        <f aca="false">+AO36</f>
        <v>82.7545820152566</v>
      </c>
      <c r="AQ37" s="95" t="n">
        <f aca="false">+D37</f>
        <v>1680154.926</v>
      </c>
      <c r="AS37" s="95" t="n">
        <f aca="false">+AS36</f>
        <v>106.145304813907</v>
      </c>
      <c r="AT37" s="43" t="n">
        <f aca="false">+G37</f>
        <v>18854008</v>
      </c>
      <c r="AU37" s="71" t="n">
        <f aca="false">+AS37*AT37/1000</f>
        <v>2001264.42612383</v>
      </c>
    </row>
    <row r="38" customFormat="false" ht="12.75" hidden="false" customHeight="false" outlineLevel="0" collapsed="false">
      <c r="A38" s="0" t="n">
        <v>2009</v>
      </c>
      <c r="B38" s="0" t="s">
        <v>174</v>
      </c>
      <c r="C38" s="8" t="n">
        <v>23076526</v>
      </c>
      <c r="D38" s="71" t="n">
        <f aca="false">E38*C38/1000</f>
        <v>1407668.086</v>
      </c>
      <c r="E38" s="71" t="n">
        <v>61</v>
      </c>
      <c r="G38" s="8" t="n">
        <v>18797465</v>
      </c>
      <c r="H38" s="71" t="n">
        <f aca="false">I38*G38/1000</f>
        <v>1090252.97</v>
      </c>
      <c r="I38" s="71" t="n">
        <v>58</v>
      </c>
      <c r="K38" s="8" t="n">
        <v>4279061</v>
      </c>
      <c r="L38" s="71" t="n">
        <f aca="false">K38*M38/1000</f>
        <v>329487.697</v>
      </c>
      <c r="M38" s="71" t="n">
        <f aca="false">IF($AA$5=1,AK38,IF($AA$5=2,$AA$10*AJ38+(1-$AA$10)*AI38,$AA$10*AF38+(1-$AA$10)*AE38))</f>
        <v>77</v>
      </c>
      <c r="O38" s="71" t="n">
        <f aca="false">(I38-M38)*G38/1000</f>
        <v>-357151.835</v>
      </c>
      <c r="Q38" s="71" t="n">
        <f aca="false">O38+Q37*(1+$AB$2)^0.25</f>
        <v>-17527203.6696881</v>
      </c>
      <c r="S38" s="106" t="n">
        <v>39903</v>
      </c>
      <c r="T38" s="71" t="n">
        <f aca="false">XNPV($AB$2,O38:$O$45,S38:$S$45)</f>
        <v>-1719374.62009448</v>
      </c>
      <c r="U38" s="71"/>
      <c r="V38" s="71" t="n">
        <f aca="false">L38+H38</f>
        <v>1419740.667</v>
      </c>
      <c r="W38" s="71" t="n">
        <f aca="false">$V$5/$X$2</f>
        <v>1437066.25668452</v>
      </c>
      <c r="X38" s="105"/>
      <c r="AB38" s="107"/>
      <c r="AC38" s="0" t="n">
        <v>2009</v>
      </c>
      <c r="AD38" s="0" t="s">
        <v>174</v>
      </c>
      <c r="AE38" s="0" t="n">
        <v>40.0149514577996</v>
      </c>
      <c r="AF38" s="0" t="n">
        <v>39.0211728944911</v>
      </c>
      <c r="AG38" s="0" t="n">
        <v>32.8487845878136</v>
      </c>
      <c r="AH38" s="0" t="n">
        <v>33.4594564772145</v>
      </c>
      <c r="AI38" s="0" t="n">
        <f aca="false">AG38*$AL$8</f>
        <v>32.9712806270498</v>
      </c>
      <c r="AJ38" s="0" t="n">
        <f aca="false">AH38*$AL$8</f>
        <v>33.5842297662383</v>
      </c>
      <c r="AK38" s="71" t="n">
        <v>77</v>
      </c>
      <c r="AL38" s="0" t="n">
        <f aca="false">AL37*(1+$AA$12)^0.25</f>
        <v>1.12230740247559</v>
      </c>
      <c r="AN38" s="95" t="n">
        <f aca="false">(AJ38+AK38)/2</f>
        <v>55.2921148831192</v>
      </c>
      <c r="AO38" s="0" t="n">
        <f aca="false">+AO37</f>
        <v>82.7545820152566</v>
      </c>
      <c r="AQ38" s="95" t="n">
        <f aca="false">+D38</f>
        <v>1407668.086</v>
      </c>
      <c r="AS38" s="95" t="n">
        <f aca="false">+AS37</f>
        <v>106.145304813907</v>
      </c>
      <c r="AT38" s="43" t="n">
        <f aca="false">+G38</f>
        <v>18797465</v>
      </c>
      <c r="AU38" s="71" t="n">
        <f aca="false">+AS38*AT38/1000</f>
        <v>1995262.65215374</v>
      </c>
    </row>
    <row r="39" customFormat="false" ht="12.75" hidden="false" customHeight="false" outlineLevel="0" collapsed="false">
      <c r="B39" s="0" t="s">
        <v>175</v>
      </c>
      <c r="C39" s="8" t="n">
        <v>24316954</v>
      </c>
      <c r="D39" s="71" t="n">
        <f aca="false">E39*C39/1000</f>
        <v>1531968.102</v>
      </c>
      <c r="E39" s="71" t="n">
        <v>63</v>
      </c>
      <c r="G39" s="8" t="n">
        <v>18709911</v>
      </c>
      <c r="H39" s="71" t="n">
        <f aca="false">I39*G39/1000</f>
        <v>1122594.66</v>
      </c>
      <c r="I39" s="71" t="n">
        <v>60</v>
      </c>
      <c r="K39" s="8" t="n">
        <v>5607044</v>
      </c>
      <c r="L39" s="71" t="n">
        <f aca="false">K39*M39/1000</f>
        <v>420528.3</v>
      </c>
      <c r="M39" s="71" t="n">
        <f aca="false">IF($AA$5=1,AK39,IF($AA$5=2,$AA$10*AJ39+(1-$AA$10)*AI39,$AA$10*AF39+(1-$AA$10)*AE39))</f>
        <v>75</v>
      </c>
      <c r="O39" s="71" t="n">
        <f aca="false">(I39-M39)*G39/1000</f>
        <v>-280648.665</v>
      </c>
      <c r="Q39" s="71" t="n">
        <f aca="false">O39+Q38*(1+$AB$2)^0.25</f>
        <v>-18120984.7274023</v>
      </c>
      <c r="S39" s="106" t="n">
        <v>39994</v>
      </c>
      <c r="T39" s="71" t="n">
        <f aca="false">XNPV($AB$2,O39:$O$45,S39:$S$45)</f>
        <v>-1386492.32017328</v>
      </c>
      <c r="U39" s="71"/>
      <c r="V39" s="71" t="n">
        <f aca="false">L39+H39</f>
        <v>1543122.96</v>
      </c>
      <c r="W39" s="71" t="n">
        <f aca="false">$V$5/$X$2</f>
        <v>1437066.25668452</v>
      </c>
      <c r="X39" s="105"/>
      <c r="AB39" s="107"/>
      <c r="AD39" s="0" t="s">
        <v>175</v>
      </c>
      <c r="AE39" s="0" t="n">
        <v>40.2071782861776</v>
      </c>
      <c r="AF39" s="0" t="n">
        <v>37.9757110076002</v>
      </c>
      <c r="AG39" s="0" t="n">
        <v>28.7733719713262</v>
      </c>
      <c r="AH39" s="0" t="n">
        <v>28.4001723058542</v>
      </c>
      <c r="AI39" s="0" t="n">
        <f aca="false">AG39*$AL$8</f>
        <v>28.8806704344561</v>
      </c>
      <c r="AJ39" s="0" t="n">
        <f aca="false">AH39*$AL$8</f>
        <v>28.5060790742399</v>
      </c>
      <c r="AK39" s="71" t="n">
        <v>75</v>
      </c>
      <c r="AL39" s="0" t="n">
        <f aca="false">AL38*(1+$AA$12)^0.25</f>
        <v>1.12649258659531</v>
      </c>
      <c r="AN39" s="95" t="n">
        <f aca="false">(AJ39+AK39)/2</f>
        <v>51.75303953712</v>
      </c>
      <c r="AO39" s="0" t="n">
        <f aca="false">+AO38</f>
        <v>82.7545820152566</v>
      </c>
      <c r="AQ39" s="95" t="n">
        <f aca="false">+D39</f>
        <v>1531968.102</v>
      </c>
      <c r="AS39" s="95" t="n">
        <f aca="false">+AS38</f>
        <v>106.145304813907</v>
      </c>
      <c r="AT39" s="43" t="n">
        <f aca="false">+G39</f>
        <v>18709911</v>
      </c>
      <c r="AU39" s="71" t="n">
        <f aca="false">+AS39*AT39/1000</f>
        <v>1985969.20613606</v>
      </c>
    </row>
    <row r="40" customFormat="false" ht="12.75" hidden="false" customHeight="false" outlineLevel="0" collapsed="false">
      <c r="B40" s="0" t="s">
        <v>176</v>
      </c>
      <c r="C40" s="8" t="n">
        <v>32144744</v>
      </c>
      <c r="D40" s="71" t="n">
        <f aca="false">E40*C40/1000</f>
        <v>2185842.592</v>
      </c>
      <c r="E40" s="71" t="n">
        <v>68</v>
      </c>
      <c r="G40" s="8" t="n">
        <v>19293801</v>
      </c>
      <c r="H40" s="71" t="n">
        <f aca="false">I40*G40/1000</f>
        <v>1292684.667</v>
      </c>
      <c r="I40" s="71" t="n">
        <v>67</v>
      </c>
      <c r="K40" s="8" t="n">
        <v>12850943</v>
      </c>
      <c r="L40" s="71" t="n">
        <f aca="false">K40*M40/1000</f>
        <v>912416.953</v>
      </c>
      <c r="M40" s="71" t="n">
        <f aca="false">IF($AA$5=1,AK40,IF($AA$5=2,$AA$10*AJ40+(1-$AA$10)*AI40,$AA$10*AF40+(1-$AA$10)*AE40))</f>
        <v>71</v>
      </c>
      <c r="O40" s="71" t="n">
        <f aca="false">(I40-M40)*G40/1000</f>
        <v>-77175.204</v>
      </c>
      <c r="Q40" s="71" t="n">
        <f aca="false">O40+Q39*(1+$AB$2)^0.25</f>
        <v>-18521900.5241952</v>
      </c>
      <c r="S40" s="106" t="n">
        <v>40086</v>
      </c>
      <c r="T40" s="71" t="n">
        <f aca="false">XNPV($AB$2,O40:$O$45,S40:$S$45)</f>
        <v>-1125763.94927458</v>
      </c>
      <c r="U40" s="71"/>
      <c r="V40" s="71" t="n">
        <f aca="false">L40+H40</f>
        <v>2205101.62</v>
      </c>
      <c r="W40" s="71" t="n">
        <f aca="false">$V$5/$X$2</f>
        <v>1437066.25668452</v>
      </c>
      <c r="X40" s="105"/>
      <c r="AB40" s="107"/>
      <c r="AD40" s="0" t="s">
        <v>176</v>
      </c>
      <c r="AE40" s="0" t="n">
        <v>66.3474398302897</v>
      </c>
      <c r="AF40" s="0" t="n">
        <v>61.302359300358</v>
      </c>
      <c r="AG40" s="0" t="n">
        <v>55.1331191158901</v>
      </c>
      <c r="AH40" s="0" t="n">
        <v>55.1325440860215</v>
      </c>
      <c r="AI40" s="0" t="n">
        <f aca="false">AG40*$AL$8</f>
        <v>55.3387154205077</v>
      </c>
      <c r="AJ40" s="0" t="n">
        <f aca="false">AH40*$AL$8</f>
        <v>55.3381382463016</v>
      </c>
      <c r="AK40" s="71" t="n">
        <v>71</v>
      </c>
      <c r="AL40" s="0" t="n">
        <f aca="false">AL39*(1+$AA$12)^0.25</f>
        <v>1.13069337763882</v>
      </c>
      <c r="AN40" s="95" t="n">
        <f aca="false">(AJ40+AK40)/2</f>
        <v>63.1690691231508</v>
      </c>
      <c r="AO40" s="0" t="n">
        <f aca="false">+AO39</f>
        <v>82.7545820152566</v>
      </c>
      <c r="AQ40" s="95" t="n">
        <f aca="false">+D40</f>
        <v>2185842.592</v>
      </c>
      <c r="AS40" s="95" t="n">
        <f aca="false">+AS39</f>
        <v>106.145304813907</v>
      </c>
      <c r="AT40" s="43" t="n">
        <f aca="false">+G40</f>
        <v>19293801</v>
      </c>
      <c r="AU40" s="71" t="n">
        <f aca="false">+AS40*AT40/1000</f>
        <v>2047946.38816385</v>
      </c>
    </row>
    <row r="41" customFormat="false" ht="12.75" hidden="false" customHeight="false" outlineLevel="0" collapsed="false">
      <c r="B41" s="0" t="s">
        <v>177</v>
      </c>
      <c r="C41" s="8" t="n">
        <v>27451467</v>
      </c>
      <c r="D41" s="71" t="n">
        <f aca="false">E41*C41/1000</f>
        <v>1729442.421</v>
      </c>
      <c r="E41" s="71" t="n">
        <v>63</v>
      </c>
      <c r="G41" s="8" t="n">
        <v>18779557</v>
      </c>
      <c r="H41" s="71" t="n">
        <f aca="false">I41*G41/1000</f>
        <v>1107993.863</v>
      </c>
      <c r="I41" s="71" t="n">
        <v>59</v>
      </c>
      <c r="K41" s="8" t="n">
        <v>8671910</v>
      </c>
      <c r="L41" s="71" t="n">
        <f aca="false">K41*M41/1000</f>
        <v>607033.7</v>
      </c>
      <c r="M41" s="71" t="n">
        <f aca="false">IF($AA$5=1,AK41,IF($AA$5=2,$AA$10*AJ41+(1-$AA$10)*AI41,$AA$10*AF41+(1-$AA$10)*AE41))</f>
        <v>70</v>
      </c>
      <c r="O41" s="71" t="n">
        <f aca="false">(I41-M41)*G41/1000</f>
        <v>-206575.127</v>
      </c>
      <c r="Q41" s="71" t="n">
        <f aca="false">O41+Q40*(1+$AB$2)^0.25</f>
        <v>-19059378.8082564</v>
      </c>
      <c r="S41" s="106" t="n">
        <v>40178</v>
      </c>
      <c r="T41" s="71" t="n">
        <f aca="false">XNPV($AB$2,O41:$O$45,S41:$S$45)</f>
        <v>-1067477.66876703</v>
      </c>
      <c r="U41" s="71"/>
      <c r="V41" s="71" t="n">
        <f aca="false">L41+H41</f>
        <v>1715027.563</v>
      </c>
      <c r="W41" s="71" t="n">
        <f aca="false">$V$5/$X$2</f>
        <v>1437066.25668452</v>
      </c>
      <c r="X41" s="105"/>
      <c r="AB41" s="107"/>
      <c r="AD41" s="0" t="s">
        <v>177</v>
      </c>
      <c r="AE41" s="0" t="n">
        <v>38.0676516546017</v>
      </c>
      <c r="AF41" s="0" t="n">
        <v>37.7263919449548</v>
      </c>
      <c r="AG41" s="0" t="n">
        <v>42.5701409318997</v>
      </c>
      <c r="AH41" s="0" t="n">
        <v>43.6267200716846</v>
      </c>
      <c r="AI41" s="0" t="n">
        <f aca="false">AG41*$AL$8</f>
        <v>42.7288887735419</v>
      </c>
      <c r="AJ41" s="0" t="n">
        <f aca="false">AH41*$AL$8</f>
        <v>43.7894079909092</v>
      </c>
      <c r="AK41" s="71" t="n">
        <v>70</v>
      </c>
      <c r="AL41" s="0" t="n">
        <f aca="false">AL40*(1+$AA$12)^0.25</f>
        <v>1.13490983380575</v>
      </c>
      <c r="AN41" s="95" t="n">
        <f aca="false">(AJ41+AK41)/2</f>
        <v>56.8947039954546</v>
      </c>
      <c r="AO41" s="0" t="n">
        <f aca="false">+AO40</f>
        <v>82.7545820152566</v>
      </c>
      <c r="AQ41" s="95" t="n">
        <f aca="false">+D41</f>
        <v>1729442.421</v>
      </c>
      <c r="AS41" s="95" t="n">
        <f aca="false">+AS40</f>
        <v>106.145304813907</v>
      </c>
      <c r="AT41" s="43" t="n">
        <f aca="false">+G41</f>
        <v>18779557</v>
      </c>
      <c r="AU41" s="71" t="n">
        <f aca="false">+AS41*AT41/1000</f>
        <v>1993361.80203513</v>
      </c>
    </row>
    <row r="42" customFormat="false" ht="12.75" hidden="false" customHeight="false" outlineLevel="0" collapsed="false">
      <c r="A42" s="0" t="n">
        <v>2010</v>
      </c>
      <c r="B42" s="0" t="s">
        <v>174</v>
      </c>
      <c r="C42" s="8" t="n">
        <v>23781978</v>
      </c>
      <c r="D42" s="71" t="n">
        <f aca="false">E42*C42/1000</f>
        <v>1474482.636</v>
      </c>
      <c r="E42" s="71" t="n">
        <v>62</v>
      </c>
      <c r="G42" s="8" t="n">
        <v>18709260</v>
      </c>
      <c r="H42" s="71" t="n">
        <f aca="false">I42*G42/1000</f>
        <v>1085137.08</v>
      </c>
      <c r="I42" s="71" t="n">
        <v>58</v>
      </c>
      <c r="K42" s="8" t="n">
        <v>5072718</v>
      </c>
      <c r="L42" s="71" t="n">
        <f aca="false">K42*M42/1000</f>
        <v>385526.568</v>
      </c>
      <c r="M42" s="71" t="n">
        <f aca="false">IF($AA$5=1,AK42,IF($AA$5=2,$AA$10*AJ42+(1-$AA$10)*AI42,$AA$10*AF42+(1-$AA$10)*AE42))</f>
        <v>76</v>
      </c>
      <c r="O42" s="71" t="n">
        <f aca="false">(I42-M42)*G42/1000</f>
        <v>-336766.68</v>
      </c>
      <c r="Q42" s="71" t="n">
        <f aca="false">O42+Q41*(1+$AB$2)^0.25</f>
        <v>-19736650.9677583</v>
      </c>
      <c r="S42" s="106" t="n">
        <v>40268</v>
      </c>
      <c r="T42" s="71" t="n">
        <f aca="false">XNPV($AB$2,O42:$O$45,S42:$S$45)</f>
        <v>-876070.466372897</v>
      </c>
      <c r="U42" s="71"/>
      <c r="V42" s="71" t="n">
        <f aca="false">L42+H42</f>
        <v>1470663.648</v>
      </c>
      <c r="W42" s="71" t="n">
        <f aca="false">$V$5/$X$2</f>
        <v>1437066.25668452</v>
      </c>
      <c r="X42" s="105"/>
      <c r="AB42" s="107"/>
      <c r="AC42" s="0" t="n">
        <v>2010</v>
      </c>
      <c r="AD42" s="0" t="s">
        <v>174</v>
      </c>
      <c r="AE42" s="0" t="n">
        <v>40.4297972107094</v>
      </c>
      <c r="AF42" s="0" t="n">
        <v>39.6541094008754</v>
      </c>
      <c r="AG42" s="0" t="n">
        <v>33.032586328725</v>
      </c>
      <c r="AH42" s="0" t="n">
        <v>33.6587712237583</v>
      </c>
      <c r="AI42" s="0" t="n">
        <f aca="false">AG42*$AL$8</f>
        <v>33.1557677810001</v>
      </c>
      <c r="AJ42" s="0" t="n">
        <f aca="false">AH42*$AL$8</f>
        <v>33.7842877751986</v>
      </c>
      <c r="AK42" s="71" t="n">
        <v>76</v>
      </c>
      <c r="AL42" s="0" t="n">
        <f aca="false">AL41*(1+$AA$12)^0.25</f>
        <v>1.13914201351273</v>
      </c>
      <c r="AN42" s="95" t="n">
        <f aca="false">(AJ42+AK42)/2</f>
        <v>54.8921438875993</v>
      </c>
      <c r="AO42" s="0" t="n">
        <f aca="false">+AO41</f>
        <v>82.7545820152566</v>
      </c>
      <c r="AQ42" s="95" t="n">
        <f aca="false">+D42</f>
        <v>1474482.636</v>
      </c>
      <c r="AS42" s="95" t="n">
        <f aca="false">+AS41</f>
        <v>106.145304813907</v>
      </c>
      <c r="AT42" s="43" t="n">
        <f aca="false">+G42</f>
        <v>18709260</v>
      </c>
      <c r="AU42" s="71" t="n">
        <f aca="false">+AS42*AT42/1000</f>
        <v>1985900.10554263</v>
      </c>
    </row>
    <row r="43" customFormat="false" ht="12.75" hidden="false" customHeight="false" outlineLevel="0" collapsed="false">
      <c r="B43" s="0" t="s">
        <v>175</v>
      </c>
      <c r="C43" s="8" t="n">
        <v>24950229</v>
      </c>
      <c r="D43" s="71" t="n">
        <f aca="false">E43*C43/1000</f>
        <v>1596814.656</v>
      </c>
      <c r="E43" s="71" t="n">
        <v>64</v>
      </c>
      <c r="G43" s="8" t="n">
        <v>18604505</v>
      </c>
      <c r="H43" s="71" t="n">
        <f aca="false">I43*G43/1000</f>
        <v>1116270.3</v>
      </c>
      <c r="I43" s="71" t="n">
        <v>60</v>
      </c>
      <c r="K43" s="8" t="n">
        <v>6342724</v>
      </c>
      <c r="L43" s="71" t="n">
        <f aca="false">K43*M43/1000</f>
        <v>469361.576</v>
      </c>
      <c r="M43" s="71" t="n">
        <f aca="false">IF($AA$5=1,AK43,IF($AA$5=2,$AA$10*AJ43+(1-$AA$10)*AI43,$AA$10*AF43+(1-$AA$10)*AE43))</f>
        <v>74</v>
      </c>
      <c r="O43" s="71" t="n">
        <f aca="false">(I43-M43)*G43/1000</f>
        <v>-260463.07</v>
      </c>
      <c r="Q43" s="71" t="n">
        <f aca="false">O43+Q42*(1+$AB$2)^0.25</f>
        <v>-20349719.3282637</v>
      </c>
      <c r="S43" s="106" t="n">
        <v>40359</v>
      </c>
      <c r="T43" s="71" t="n">
        <f aca="false">XNPV($AB$2,O43:$O$45,S43:$S$45)</f>
        <v>-548912.091493559</v>
      </c>
      <c r="U43" s="71"/>
      <c r="V43" s="71" t="n">
        <f aca="false">L43+H43</f>
        <v>1585631.876</v>
      </c>
      <c r="W43" s="71" t="n">
        <f aca="false">$V$5/$X$2</f>
        <v>1437066.25668452</v>
      </c>
      <c r="X43" s="105"/>
      <c r="AB43" s="107"/>
      <c r="AD43" s="0" t="s">
        <v>175</v>
      </c>
      <c r="AE43" s="0" t="n">
        <v>40.587459809343</v>
      </c>
      <c r="AF43" s="0" t="n">
        <v>38.623202049055</v>
      </c>
      <c r="AG43" s="0" t="n">
        <v>29.1147709677419</v>
      </c>
      <c r="AH43" s="0" t="n">
        <v>28.8162196654719</v>
      </c>
      <c r="AI43" s="0" t="n">
        <f aca="false">AG43*$AL$8</f>
        <v>29.2233425380929</v>
      </c>
      <c r="AJ43" s="0" t="n">
        <f aca="false">AH43*$AL$8</f>
        <v>28.9236779114641</v>
      </c>
      <c r="AK43" s="71" t="n">
        <v>74</v>
      </c>
      <c r="AL43" s="0" t="n">
        <f aca="false">AL42*(1+$AA$12)^0.25</f>
        <v>1.14338997539424</v>
      </c>
      <c r="AN43" s="95" t="n">
        <f aca="false">(AJ43+AK43)/2</f>
        <v>51.4618389557321</v>
      </c>
      <c r="AO43" s="0" t="n">
        <f aca="false">+AO42</f>
        <v>82.7545820152566</v>
      </c>
      <c r="AQ43" s="95" t="n">
        <f aca="false">+D43</f>
        <v>1596814.656</v>
      </c>
      <c r="AS43" s="95" t="n">
        <f aca="false">+AS42</f>
        <v>106.145304813907</v>
      </c>
      <c r="AT43" s="43" t="n">
        <f aca="false">+G43</f>
        <v>18604505</v>
      </c>
      <c r="AU43" s="71" t="n">
        <f aca="false">+AS43*AT43/1000</f>
        <v>1974780.85413685</v>
      </c>
    </row>
    <row r="44" customFormat="false" ht="12.75" hidden="false" customHeight="false" outlineLevel="0" collapsed="false">
      <c r="B44" s="0" t="s">
        <v>176</v>
      </c>
      <c r="C44" s="8" t="n">
        <v>33368529</v>
      </c>
      <c r="D44" s="71" t="n">
        <f aca="false">E44*C44/1000</f>
        <v>2302428.501</v>
      </c>
      <c r="E44" s="71" t="n">
        <v>69</v>
      </c>
      <c r="G44" s="8" t="n">
        <v>18922185</v>
      </c>
      <c r="H44" s="71" t="n">
        <f aca="false">I44*G44/1000</f>
        <v>1267786.395</v>
      </c>
      <c r="I44" s="71" t="n">
        <v>67</v>
      </c>
      <c r="K44" s="8" t="n">
        <v>14446344</v>
      </c>
      <c r="L44" s="71" t="n">
        <f aca="false">K44*M44/1000</f>
        <v>1025690.424</v>
      </c>
      <c r="M44" s="71" t="n">
        <f aca="false">IF($AA$5=1,AK44,IF($AA$5=2,$AA$10*AJ44+(1-$AA$10)*AI44,$AA$10*AF44+(1-$AA$10)*AE44))</f>
        <v>71</v>
      </c>
      <c r="O44" s="71" t="n">
        <f aca="false">(I44-M44)*G44/1000</f>
        <v>-75688.74</v>
      </c>
      <c r="Q44" s="71" t="n">
        <f aca="false">O44+Q43*(1+$AB$2)^0.25</f>
        <v>-20788966.1363051</v>
      </c>
      <c r="S44" s="106" t="n">
        <v>40451</v>
      </c>
      <c r="T44" s="71" t="n">
        <f aca="false">XNPV($AB$2,O44:$O$45,S44:$S$45)</f>
        <v>-293645.044741967</v>
      </c>
      <c r="U44" s="71"/>
      <c r="V44" s="71" t="n">
        <f aca="false">L44+H44</f>
        <v>2293476.819</v>
      </c>
      <c r="W44" s="71" t="n">
        <f aca="false">$V$5/$X$2</f>
        <v>1437066.25668452</v>
      </c>
      <c r="X44" s="105"/>
      <c r="AB44" s="107"/>
      <c r="AD44" s="0" t="s">
        <v>176</v>
      </c>
      <c r="AE44" s="0" t="n">
        <v>66.0754189720291</v>
      </c>
      <c r="AF44" s="0" t="n">
        <v>61.9486406591556</v>
      </c>
      <c r="AG44" s="0" t="n">
        <v>55.3729381123059</v>
      </c>
      <c r="AH44" s="0" t="n">
        <v>54.3043703703704</v>
      </c>
      <c r="AI44" s="0" t="n">
        <f aca="false">AG44*$AL$8</f>
        <v>55.5794287232902</v>
      </c>
      <c r="AJ44" s="0" t="n">
        <f aca="false">AH44*$AL$8</f>
        <v>54.5068761972086</v>
      </c>
      <c r="AK44" s="71" t="n">
        <v>71</v>
      </c>
      <c r="AL44" s="0" t="n">
        <f aca="false">AL43*(1+$AA$12)^0.25</f>
        <v>1.1476537783034</v>
      </c>
      <c r="AN44" s="95" t="n">
        <f aca="false">(AJ44+AK44)/2</f>
        <v>62.7534380986043</v>
      </c>
      <c r="AO44" s="0" t="n">
        <f aca="false">+AO43</f>
        <v>82.7545820152566</v>
      </c>
      <c r="AQ44" s="95" t="n">
        <f aca="false">+D44</f>
        <v>2302428.501</v>
      </c>
      <c r="AS44" s="95" t="n">
        <f aca="false">+AS43</f>
        <v>106.145304813907</v>
      </c>
      <c r="AT44" s="43" t="n">
        <f aca="false">+G44</f>
        <v>18922185</v>
      </c>
      <c r="AU44" s="71" t="n">
        <f aca="false">+AS44*AT44/1000</f>
        <v>2008501.09457013</v>
      </c>
    </row>
    <row r="45" customFormat="false" ht="12.75" hidden="false" customHeight="false" outlineLevel="0" collapsed="false">
      <c r="B45" s="0" t="s">
        <v>177</v>
      </c>
      <c r="C45" s="8" t="n">
        <v>28418492</v>
      </c>
      <c r="D45" s="71" t="n">
        <f aca="false">E45*C45/1000</f>
        <v>1790364.996</v>
      </c>
      <c r="E45" s="71" t="n">
        <v>63</v>
      </c>
      <c r="G45" s="8" t="n">
        <v>18490208</v>
      </c>
      <c r="H45" s="71" t="n">
        <f aca="false">I45*G45/1000</f>
        <v>1090922.272</v>
      </c>
      <c r="I45" s="71" t="n">
        <v>59</v>
      </c>
      <c r="K45" s="8" t="n">
        <v>9928284</v>
      </c>
      <c r="L45" s="71" t="n">
        <f aca="false">K45*M45/1000</f>
        <v>704908.164</v>
      </c>
      <c r="M45" s="71" t="n">
        <f aca="false">IF($AA$5=1,AK45,IF($AA$5=2,$AA$10*AJ45+(1-$AA$10)*AI45,$AA$10*AF45+(1-$AA$10)*AE45))</f>
        <v>71</v>
      </c>
      <c r="O45" s="71" t="n">
        <f aca="false">(I45-M45)*G45/1000</f>
        <v>-221882.496</v>
      </c>
      <c r="Q45" s="71" t="n">
        <f aca="false">O45+Q44*(1+$AB$2)^0.25</f>
        <v>-21382254.0675927</v>
      </c>
      <c r="S45" s="106" t="n">
        <v>40543</v>
      </c>
      <c r="T45" s="71" t="e">
        <f aca="false">XNPV($AB$2,O45:$O$45,S45:$S$45)</f>
        <v>#VALUE!</v>
      </c>
      <c r="U45" s="71"/>
      <c r="V45" s="71" t="n">
        <f aca="false">L45+H45</f>
        <v>1795830.436</v>
      </c>
      <c r="W45" s="71" t="n">
        <f aca="false">$V$5/$X$2</f>
        <v>1437066.25668452</v>
      </c>
      <c r="X45" s="105"/>
      <c r="AB45" s="107"/>
      <c r="AD45" s="0" t="s">
        <v>177</v>
      </c>
      <c r="AE45" s="0" t="n">
        <v>38.4211324790443</v>
      </c>
      <c r="AF45" s="0" t="n">
        <v>38.3732378235663</v>
      </c>
      <c r="AG45" s="0" t="n">
        <v>42.0629296296296</v>
      </c>
      <c r="AH45" s="0" t="n">
        <v>43.0268799283154</v>
      </c>
      <c r="AI45" s="0" t="n">
        <f aca="false">AG45*$AL$8</f>
        <v>42.2197860352153</v>
      </c>
      <c r="AJ45" s="0" t="n">
        <f aca="false">AH45*$AL$8</f>
        <v>43.1873309902968</v>
      </c>
      <c r="AK45" s="71" t="n">
        <v>71</v>
      </c>
      <c r="AL45" s="0" t="n">
        <f aca="false">AL44*(1+$AA$12)^0.25</f>
        <v>1.15193348131284</v>
      </c>
      <c r="AN45" s="95" t="n">
        <f aca="false">(AJ45+AK45)/2</f>
        <v>57.0936654951484</v>
      </c>
      <c r="AO45" s="0" t="n">
        <f aca="false">+AO44</f>
        <v>82.7545820152566</v>
      </c>
      <c r="AQ45" s="95" t="n">
        <f aca="false">+D45</f>
        <v>1790364.996</v>
      </c>
      <c r="AS45" s="95" t="n">
        <f aca="false">+AS44</f>
        <v>106.145304813907</v>
      </c>
      <c r="AT45" s="43" t="n">
        <f aca="false">+G45</f>
        <v>18490208</v>
      </c>
      <c r="AU45" s="71" t="n">
        <f aca="false">+AS45*AT45/1000</f>
        <v>1962648.76423253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140"/>
  <sheetViews>
    <sheetView showFormulas="false" showGridLines="true" showRowColHeaders="true" showZeros="true" rightToLeft="false" tabSelected="false" showOutlineSymbols="true" defaultGridColor="true" view="normal" topLeftCell="A85" colorId="64" zoomScale="80" zoomScaleNormal="8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1.28"/>
    <col collapsed="false" customWidth="true" hidden="false" outlineLevel="0" max="3" min="3" style="1" width="60.7"/>
    <col collapsed="false" customWidth="true" hidden="false" outlineLevel="0" max="4" min="4" style="1" width="23.99"/>
    <col collapsed="false" customWidth="true" hidden="false" outlineLevel="0" max="5" min="5" style="2" width="14.14"/>
    <col collapsed="false" customWidth="true" hidden="false" outlineLevel="0" max="6" min="6" style="3" width="13.56"/>
    <col collapsed="false" customWidth="true" hidden="false" outlineLevel="0" max="7" min="7" style="4" width="14.85"/>
    <col collapsed="false" customWidth="true" hidden="false" outlineLevel="0" max="8" min="8" style="4" width="16.99"/>
    <col collapsed="false" customWidth="true" hidden="false" outlineLevel="0" max="9" min="9" style="10" width="16.99"/>
    <col collapsed="false" customWidth="true" hidden="false" outlineLevel="0" max="10" min="10" style="9" width="11.99"/>
    <col collapsed="false" customWidth="true" hidden="false" outlineLevel="0" max="11" min="11" style="1" width="16.99"/>
    <col collapsed="false" customWidth="true" hidden="false" outlineLevel="0" max="14" min="12" style="1" width="9.14"/>
  </cols>
  <sheetData>
    <row r="2" customFormat="false" ht="12.75" hidden="false" customHeight="false" outlineLevel="0" collapsed="false">
      <c r="E2" s="1" t="s">
        <v>0</v>
      </c>
      <c r="F2" s="3" t="s">
        <v>1</v>
      </c>
      <c r="G2" s="4" t="s">
        <v>1</v>
      </c>
      <c r="H2" s="4" t="s">
        <v>2</v>
      </c>
      <c r="I2" s="10" t="s">
        <v>3</v>
      </c>
      <c r="J2" s="9" t="s">
        <v>4</v>
      </c>
    </row>
    <row r="3" customFormat="false" ht="12.75" hidden="false" customHeight="false" outlineLevel="0" collapsed="false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3" t="s">
        <v>10</v>
      </c>
      <c r="G3" s="4" t="s">
        <v>11</v>
      </c>
      <c r="H3" s="4" t="s">
        <v>12</v>
      </c>
      <c r="I3" s="10" t="s">
        <v>2</v>
      </c>
      <c r="J3" s="9" t="s">
        <v>13</v>
      </c>
      <c r="K3" s="1" t="s">
        <v>14</v>
      </c>
    </row>
    <row r="5" customFormat="false" ht="12.75" hidden="false" customHeight="false" outlineLevel="0" collapsed="false">
      <c r="A5" s="1" t="s">
        <v>16</v>
      </c>
      <c r="B5" s="1" t="s">
        <v>65</v>
      </c>
      <c r="D5" s="1" t="s">
        <v>66</v>
      </c>
      <c r="E5" s="2" t="n">
        <v>12138</v>
      </c>
      <c r="F5" s="3" t="n">
        <v>13.01</v>
      </c>
      <c r="G5" s="4" t="n">
        <f aca="false">+E5*F5/100</f>
        <v>1579.1538</v>
      </c>
      <c r="H5" s="4" t="n">
        <f aca="false">+I5-G5</f>
        <v>0</v>
      </c>
      <c r="I5" s="10" t="n">
        <f aca="false">+E5*J5/100</f>
        <v>1579.1538</v>
      </c>
      <c r="J5" s="9" t="n">
        <v>13.01</v>
      </c>
    </row>
    <row r="6" customFormat="false" ht="12.75" hidden="false" customHeight="false" outlineLevel="0" collapsed="false">
      <c r="A6" s="1" t="s">
        <v>16</v>
      </c>
      <c r="B6" s="1" t="s">
        <v>65</v>
      </c>
      <c r="D6" s="1" t="s">
        <v>67</v>
      </c>
      <c r="E6" s="2" t="n">
        <v>2434</v>
      </c>
      <c r="F6" s="3" t="n">
        <v>15.16</v>
      </c>
      <c r="G6" s="4" t="n">
        <f aca="false">+E6*F6/100</f>
        <v>368.9944</v>
      </c>
      <c r="H6" s="4" t="n">
        <f aca="false">+I6-G6</f>
        <v>0</v>
      </c>
      <c r="I6" s="10" t="n">
        <f aca="false">+E6*J6/100</f>
        <v>368.9944</v>
      </c>
      <c r="J6" s="9" t="n">
        <v>15.16</v>
      </c>
    </row>
    <row r="7" customFormat="false" ht="12.75" hidden="false" customHeight="false" outlineLevel="0" collapsed="false">
      <c r="A7" s="1" t="s">
        <v>16</v>
      </c>
      <c r="B7" s="1" t="s">
        <v>65</v>
      </c>
      <c r="D7" s="1" t="s">
        <v>68</v>
      </c>
      <c r="E7" s="2" t="n">
        <v>3594</v>
      </c>
      <c r="F7" s="3" t="n">
        <v>15.16</v>
      </c>
      <c r="G7" s="4" t="n">
        <f aca="false">+E7*F7/100</f>
        <v>544.8504</v>
      </c>
      <c r="H7" s="4" t="n">
        <f aca="false">+I7-G7</f>
        <v>186.5286</v>
      </c>
      <c r="I7" s="10" t="n">
        <f aca="false">+E7*J7/100</f>
        <v>731.379</v>
      </c>
      <c r="J7" s="9" t="n">
        <v>20.35</v>
      </c>
    </row>
    <row r="8" customFormat="false" ht="12.75" hidden="false" customHeight="false" outlineLevel="0" collapsed="false">
      <c r="A8" s="1" t="s">
        <v>16</v>
      </c>
      <c r="B8" s="1" t="s">
        <v>65</v>
      </c>
      <c r="D8" s="1" t="s">
        <v>69</v>
      </c>
      <c r="E8" s="2" t="n">
        <v>4200</v>
      </c>
      <c r="F8" s="3" t="n">
        <v>15.16</v>
      </c>
      <c r="G8" s="4" t="n">
        <f aca="false">+E8*F8/100</f>
        <v>636.72</v>
      </c>
      <c r="H8" s="4" t="n">
        <f aca="false">+I8-G8</f>
        <v>435.54</v>
      </c>
      <c r="I8" s="10" t="n">
        <f aca="false">+E8*J8/100</f>
        <v>1072.26</v>
      </c>
      <c r="J8" s="9" t="n">
        <v>25.53</v>
      </c>
    </row>
    <row r="9" customFormat="false" ht="12.75" hidden="false" customHeight="false" outlineLevel="0" collapsed="false">
      <c r="A9" s="1" t="s">
        <v>16</v>
      </c>
      <c r="B9" s="1" t="s">
        <v>65</v>
      </c>
      <c r="D9" s="1" t="s">
        <v>70</v>
      </c>
      <c r="G9" s="4" t="n">
        <v>-290.6</v>
      </c>
      <c r="H9" s="4" t="n">
        <f aca="false">+I9-G9</f>
        <v>4.90000000000003</v>
      </c>
      <c r="I9" s="10" t="n">
        <v>-285.7</v>
      </c>
    </row>
    <row r="11" customFormat="false" ht="12.75" hidden="false" customHeight="false" outlineLevel="0" collapsed="false">
      <c r="A11" s="1" t="s">
        <v>71</v>
      </c>
      <c r="E11" s="2" t="n">
        <v>22261.8</v>
      </c>
      <c r="F11" s="3" t="n">
        <f aca="false">+G11/E11*100</f>
        <v>14.1772004060768</v>
      </c>
      <c r="G11" s="4" t="n">
        <v>3156.1</v>
      </c>
      <c r="H11" s="4" t="n">
        <v>590.5</v>
      </c>
      <c r="I11" s="10" t="n">
        <v>3746.6</v>
      </c>
      <c r="K11" s="12" t="n">
        <f aca="false">+H11/G11</f>
        <v>0.187098000697063</v>
      </c>
    </row>
    <row r="14" customFormat="false" ht="12.75" hidden="false" customHeight="false" outlineLevel="0" collapsed="false">
      <c r="A14" s="1" t="s">
        <v>16</v>
      </c>
      <c r="B14" s="1" t="s">
        <v>72</v>
      </c>
      <c r="C14" s="1" t="s">
        <v>73</v>
      </c>
      <c r="D14" s="1" t="s">
        <v>66</v>
      </c>
      <c r="E14" s="2" t="n">
        <v>1510</v>
      </c>
      <c r="F14" s="3" t="n">
        <v>10.14</v>
      </c>
      <c r="G14" s="4" t="n">
        <f aca="false">+E14*F14/100</f>
        <v>153.114</v>
      </c>
      <c r="H14" s="4" t="n">
        <f aca="false">+I14-G14</f>
        <v>0</v>
      </c>
      <c r="I14" s="10" t="n">
        <f aca="false">+E14*J14/100</f>
        <v>153.114</v>
      </c>
      <c r="J14" s="9" t="n">
        <v>10.14</v>
      </c>
    </row>
    <row r="15" customFormat="false" ht="12.75" hidden="false" customHeight="false" outlineLevel="0" collapsed="false">
      <c r="A15" s="1" t="s">
        <v>16</v>
      </c>
      <c r="B15" s="1" t="s">
        <v>72</v>
      </c>
      <c r="C15" s="1" t="s">
        <v>73</v>
      </c>
      <c r="D15" s="1" t="s">
        <v>67</v>
      </c>
      <c r="E15" s="2" t="n">
        <v>303</v>
      </c>
      <c r="F15" s="3" t="n">
        <v>11.97</v>
      </c>
      <c r="G15" s="4" t="n">
        <f aca="false">+E15*F15/100</f>
        <v>36.2691</v>
      </c>
      <c r="H15" s="4" t="n">
        <f aca="false">+I15-G15</f>
        <v>0</v>
      </c>
      <c r="I15" s="10" t="n">
        <f aca="false">+E15*J15/100</f>
        <v>36.2691</v>
      </c>
      <c r="J15" s="9" t="n">
        <v>11.97</v>
      </c>
    </row>
    <row r="16" customFormat="false" ht="12.75" hidden="false" customHeight="false" outlineLevel="0" collapsed="false">
      <c r="A16" s="1" t="s">
        <v>16</v>
      </c>
      <c r="B16" s="1" t="s">
        <v>72</v>
      </c>
      <c r="C16" s="1" t="s">
        <v>73</v>
      </c>
      <c r="D16" s="1" t="s">
        <v>68</v>
      </c>
      <c r="E16" s="2" t="n">
        <v>447</v>
      </c>
      <c r="F16" s="3" t="n">
        <v>11.97</v>
      </c>
      <c r="G16" s="4" t="n">
        <f aca="false">+E16*F16/100</f>
        <v>53.5059</v>
      </c>
      <c r="H16" s="4" t="n">
        <f aca="false">+I16-G16</f>
        <v>0</v>
      </c>
      <c r="I16" s="10" t="n">
        <f aca="false">+E16*J16/100</f>
        <v>53.5059</v>
      </c>
      <c r="J16" s="9" t="n">
        <v>11.97</v>
      </c>
    </row>
    <row r="17" customFormat="false" ht="12.75" hidden="false" customHeight="false" outlineLevel="0" collapsed="false">
      <c r="A17" s="1" t="s">
        <v>16</v>
      </c>
      <c r="B17" s="1" t="s">
        <v>72</v>
      </c>
      <c r="C17" s="1" t="s">
        <v>73</v>
      </c>
      <c r="D17" s="1" t="s">
        <v>69</v>
      </c>
      <c r="E17" s="2" t="n">
        <v>523</v>
      </c>
      <c r="F17" s="3" t="n">
        <v>11.97</v>
      </c>
      <c r="G17" s="4" t="n">
        <f aca="false">+E17*F17/100</f>
        <v>62.6031</v>
      </c>
      <c r="H17" s="4" t="n">
        <f aca="false">+I17-G17</f>
        <v>36.4531</v>
      </c>
      <c r="I17" s="10" t="n">
        <f aca="false">+E17*J17/100</f>
        <v>99.0562</v>
      </c>
      <c r="J17" s="9" t="n">
        <v>18.94</v>
      </c>
    </row>
    <row r="18" customFormat="false" ht="12.75" hidden="false" customHeight="false" outlineLevel="0" collapsed="false">
      <c r="A18" s="1" t="s">
        <v>16</v>
      </c>
      <c r="B18" s="1" t="s">
        <v>72</v>
      </c>
      <c r="C18" s="1" t="s">
        <v>73</v>
      </c>
      <c r="D18" s="1" t="s">
        <v>70</v>
      </c>
      <c r="G18" s="4" t="n">
        <v>-30.5</v>
      </c>
      <c r="H18" s="4" t="n">
        <f aca="false">+I18-G18</f>
        <v>-3.7</v>
      </c>
      <c r="I18" s="10" t="n">
        <v>-34.2</v>
      </c>
    </row>
    <row r="20" customFormat="false" ht="12.75" hidden="false" customHeight="false" outlineLevel="0" collapsed="false">
      <c r="A20" s="1" t="s">
        <v>74</v>
      </c>
      <c r="E20" s="2" t="n">
        <v>2656.5</v>
      </c>
      <c r="F20" s="3" t="n">
        <f aca="false">+G20/E20*100</f>
        <v>10.875211744777</v>
      </c>
      <c r="G20" s="4" t="n">
        <v>288.9</v>
      </c>
      <c r="H20" s="4" t="n">
        <v>0</v>
      </c>
      <c r="I20" s="10" t="n">
        <v>288.9</v>
      </c>
      <c r="K20" s="12" t="n">
        <f aca="false">+H20/G20</f>
        <v>0</v>
      </c>
    </row>
    <row r="23" customFormat="false" ht="12.75" hidden="false" customHeight="false" outlineLevel="0" collapsed="false">
      <c r="A23" s="1" t="s">
        <v>75</v>
      </c>
      <c r="B23" s="1" t="s">
        <v>76</v>
      </c>
      <c r="C23" s="1" t="s">
        <v>77</v>
      </c>
      <c r="D23" s="1" t="s">
        <v>78</v>
      </c>
      <c r="E23" s="2" t="n">
        <v>0</v>
      </c>
      <c r="F23" s="3" t="n">
        <v>0</v>
      </c>
      <c r="G23" s="4" t="n">
        <v>75.1</v>
      </c>
      <c r="H23" s="4" t="n">
        <f aca="false">+I23-G23</f>
        <v>0</v>
      </c>
      <c r="I23" s="10" t="n">
        <v>75.1</v>
      </c>
      <c r="J23" s="9" t="n">
        <v>0</v>
      </c>
    </row>
    <row r="24" customFormat="false" ht="12.75" hidden="false" customHeight="false" outlineLevel="0" collapsed="false">
      <c r="A24" s="1" t="s">
        <v>75</v>
      </c>
      <c r="B24" s="1" t="s">
        <v>76</v>
      </c>
      <c r="C24" s="1" t="s">
        <v>77</v>
      </c>
      <c r="D24" s="1" t="s">
        <v>79</v>
      </c>
      <c r="E24" s="2" t="n">
        <v>989</v>
      </c>
      <c r="F24" s="3" t="n">
        <v>11.76</v>
      </c>
      <c r="G24" s="4" t="n">
        <f aca="false">+E24*F24/100</f>
        <v>116.3064</v>
      </c>
      <c r="H24" s="4" t="n">
        <f aca="false">+I24-G24</f>
        <v>37.0875</v>
      </c>
      <c r="I24" s="10" t="n">
        <f aca="false">+E24*J24/100</f>
        <v>153.3939</v>
      </c>
      <c r="J24" s="9" t="n">
        <v>15.51</v>
      </c>
    </row>
    <row r="25" customFormat="false" ht="12.75" hidden="false" customHeight="false" outlineLevel="0" collapsed="false">
      <c r="A25" s="1" t="s">
        <v>75</v>
      </c>
      <c r="B25" s="1" t="s">
        <v>76</v>
      </c>
      <c r="C25" s="1" t="s">
        <v>77</v>
      </c>
      <c r="D25" s="1" t="s">
        <v>80</v>
      </c>
      <c r="E25" s="2" t="n">
        <v>809</v>
      </c>
      <c r="F25" s="3" t="n">
        <v>11.76</v>
      </c>
      <c r="G25" s="4" t="n">
        <f aca="false">+E25*F25/100</f>
        <v>95.1384</v>
      </c>
      <c r="H25" s="4" t="n">
        <f aca="false">+I25-G25</f>
        <v>71.5965</v>
      </c>
      <c r="I25" s="10" t="n">
        <f aca="false">+E25*J25/100</f>
        <v>166.7349</v>
      </c>
      <c r="J25" s="9" t="n">
        <v>20.61</v>
      </c>
    </row>
    <row r="26" customFormat="false" ht="12.75" hidden="false" customHeight="false" outlineLevel="0" collapsed="false">
      <c r="A26" s="1" t="s">
        <v>75</v>
      </c>
      <c r="B26" s="1" t="s">
        <v>76</v>
      </c>
      <c r="C26" s="1" t="s">
        <v>77</v>
      </c>
      <c r="D26" s="1" t="s">
        <v>81</v>
      </c>
      <c r="E26" s="2" t="n">
        <v>1730</v>
      </c>
      <c r="F26" s="3" t="n">
        <v>11.76</v>
      </c>
      <c r="G26" s="4" t="n">
        <f aca="false">+E26*F26/100</f>
        <v>203.448</v>
      </c>
      <c r="H26" s="4" t="n">
        <f aca="false">+I26-G26</f>
        <v>28.891</v>
      </c>
      <c r="I26" s="10" t="n">
        <f aca="false">+E26*J26/100</f>
        <v>232.339</v>
      </c>
      <c r="J26" s="9" t="n">
        <v>13.43</v>
      </c>
    </row>
    <row r="27" customFormat="false" ht="12.75" hidden="false" customHeight="false" outlineLevel="0" collapsed="false">
      <c r="A27" s="1" t="s">
        <v>75</v>
      </c>
      <c r="B27" s="1" t="s">
        <v>76</v>
      </c>
      <c r="C27" s="1" t="s">
        <v>77</v>
      </c>
      <c r="D27" s="1" t="s">
        <v>82</v>
      </c>
      <c r="E27" s="2" t="n">
        <v>1416</v>
      </c>
      <c r="F27" s="3" t="n">
        <v>11.76</v>
      </c>
      <c r="G27" s="4" t="n">
        <f aca="false">+E27*F27/100</f>
        <v>166.5216</v>
      </c>
      <c r="H27" s="4" t="n">
        <f aca="false">+I27-G27</f>
        <v>41.3472</v>
      </c>
      <c r="I27" s="10" t="n">
        <f aca="false">+E27*J27/100</f>
        <v>207.8688</v>
      </c>
      <c r="J27" s="9" t="n">
        <v>14.68</v>
      </c>
    </row>
    <row r="28" customFormat="false" ht="12.75" hidden="false" customHeight="false" outlineLevel="0" collapsed="false">
      <c r="A28" s="1" t="s">
        <v>75</v>
      </c>
      <c r="B28" s="1" t="s">
        <v>76</v>
      </c>
      <c r="C28" s="1" t="s">
        <v>77</v>
      </c>
      <c r="D28" s="1" t="s">
        <v>70</v>
      </c>
      <c r="G28" s="4" t="n">
        <v>-65.6</v>
      </c>
      <c r="H28" s="4" t="n">
        <f aca="false">+I28-G28</f>
        <v>1.8</v>
      </c>
      <c r="I28" s="10" t="n">
        <v>-63.8</v>
      </c>
    </row>
    <row r="30" customFormat="false" ht="12.75" hidden="false" customHeight="false" outlineLevel="0" collapsed="false">
      <c r="A30" s="1" t="s">
        <v>83</v>
      </c>
      <c r="E30" s="2" t="n">
        <f aca="false">4952+186.2</f>
        <v>5138.2</v>
      </c>
      <c r="F30" s="3" t="n">
        <f aca="false">+G30/E30*100</f>
        <v>14.0574520260013</v>
      </c>
      <c r="G30" s="4" t="n">
        <f aca="false">706.7+15.6</f>
        <v>722.3</v>
      </c>
      <c r="H30" s="4" t="n">
        <f aca="false">202.8+7.6</f>
        <v>210.4</v>
      </c>
      <c r="I30" s="10" t="n">
        <f aca="false">909.5+23.2</f>
        <v>932.7</v>
      </c>
      <c r="K30" s="12" t="n">
        <f aca="false">+H30/G30</f>
        <v>0.291291707046933</v>
      </c>
    </row>
    <row r="33" customFormat="false" ht="12.75" hidden="false" customHeight="false" outlineLevel="0" collapsed="false">
      <c r="A33" s="1" t="s">
        <v>75</v>
      </c>
      <c r="B33" s="1" t="s">
        <v>84</v>
      </c>
      <c r="C33" s="1" t="s">
        <v>85</v>
      </c>
      <c r="D33" s="1" t="s">
        <v>78</v>
      </c>
      <c r="E33" s="2" t="n">
        <v>0</v>
      </c>
      <c r="F33" s="3" t="n">
        <v>0</v>
      </c>
      <c r="G33" s="4" t="n">
        <v>579.5</v>
      </c>
      <c r="H33" s="4" t="n">
        <f aca="false">+I33-G33</f>
        <v>0</v>
      </c>
      <c r="I33" s="10" t="n">
        <v>579.5</v>
      </c>
      <c r="J33" s="9" t="n">
        <v>0</v>
      </c>
    </row>
    <row r="34" customFormat="false" ht="12.75" hidden="false" customHeight="false" outlineLevel="0" collapsed="false">
      <c r="A34" s="1" t="s">
        <v>75</v>
      </c>
      <c r="B34" s="1" t="s">
        <v>84</v>
      </c>
      <c r="C34" s="1" t="s">
        <v>85</v>
      </c>
      <c r="D34" s="1" t="s">
        <v>86</v>
      </c>
      <c r="E34" s="2" t="n">
        <v>6988</v>
      </c>
      <c r="F34" s="3" t="n">
        <v>7.69</v>
      </c>
      <c r="G34" s="4" t="n">
        <f aca="false">+E34*F34/100</f>
        <v>537.3772</v>
      </c>
      <c r="H34" s="4" t="n">
        <f aca="false">+I34-G34</f>
        <v>204.7484</v>
      </c>
      <c r="I34" s="10" t="n">
        <f aca="false">+E34*J34/100</f>
        <v>742.1256</v>
      </c>
      <c r="J34" s="9" t="n">
        <v>10.62</v>
      </c>
    </row>
    <row r="35" customFormat="false" ht="12.75" hidden="false" customHeight="false" outlineLevel="0" collapsed="false">
      <c r="A35" s="1" t="s">
        <v>75</v>
      </c>
      <c r="B35" s="1" t="s">
        <v>84</v>
      </c>
      <c r="C35" s="1" t="s">
        <v>85</v>
      </c>
      <c r="D35" s="1" t="s">
        <v>87</v>
      </c>
      <c r="E35" s="2" t="n">
        <v>1842</v>
      </c>
      <c r="F35" s="3" t="n">
        <v>4.39</v>
      </c>
      <c r="G35" s="4" t="n">
        <f aca="false">+E35*F35/100</f>
        <v>80.8638</v>
      </c>
      <c r="H35" s="4" t="n">
        <f aca="false">+I35-G35</f>
        <v>331.9284</v>
      </c>
      <c r="I35" s="10" t="n">
        <f aca="false">+E35*J35/100</f>
        <v>412.7922</v>
      </c>
      <c r="J35" s="9" t="n">
        <v>22.41</v>
      </c>
    </row>
    <row r="36" customFormat="false" ht="12.75" hidden="false" customHeight="false" outlineLevel="0" collapsed="false">
      <c r="A36" s="1" t="s">
        <v>75</v>
      </c>
      <c r="B36" s="1" t="s">
        <v>84</v>
      </c>
      <c r="C36" s="1" t="s">
        <v>85</v>
      </c>
      <c r="D36" s="1" t="s">
        <v>88</v>
      </c>
      <c r="E36" s="2" t="n">
        <v>12542</v>
      </c>
      <c r="F36" s="3" t="n">
        <v>7.69</v>
      </c>
      <c r="G36" s="4" t="n">
        <f aca="false">+E36*F36/100</f>
        <v>964.4798</v>
      </c>
      <c r="H36" s="4" t="n">
        <f aca="false">+I36-G36</f>
        <v>183.1132</v>
      </c>
      <c r="I36" s="10" t="n">
        <f aca="false">+E36*J36/100</f>
        <v>1147.593</v>
      </c>
      <c r="J36" s="9" t="n">
        <v>9.15</v>
      </c>
    </row>
    <row r="37" customFormat="false" ht="12.75" hidden="false" customHeight="false" outlineLevel="0" collapsed="false">
      <c r="A37" s="1" t="s">
        <v>75</v>
      </c>
      <c r="B37" s="1" t="s">
        <v>84</v>
      </c>
      <c r="C37" s="1" t="s">
        <v>85</v>
      </c>
      <c r="D37" s="1" t="s">
        <v>89</v>
      </c>
      <c r="E37" s="2" t="n">
        <v>3054</v>
      </c>
      <c r="F37" s="3" t="n">
        <v>4.39</v>
      </c>
      <c r="G37" s="4" t="n">
        <f aca="false">+E37*F37/100</f>
        <v>134.0706</v>
      </c>
      <c r="H37" s="4" t="n">
        <f aca="false">+I37-G37</f>
        <v>164.916</v>
      </c>
      <c r="I37" s="10" t="n">
        <f aca="false">+E37*J37/100</f>
        <v>298.9866</v>
      </c>
      <c r="J37" s="9" t="n">
        <v>9.79</v>
      </c>
    </row>
    <row r="39" customFormat="false" ht="12.75" hidden="false" customHeight="false" outlineLevel="0" collapsed="false">
      <c r="A39" s="1" t="s">
        <v>90</v>
      </c>
      <c r="E39" s="2" t="n">
        <v>24468.1</v>
      </c>
      <c r="F39" s="3" t="n">
        <f aca="false">+G39/E39*100</f>
        <v>11.0167932941258</v>
      </c>
      <c r="G39" s="4" t="n">
        <v>2695.6</v>
      </c>
      <c r="H39" s="4" t="n">
        <v>1002.1</v>
      </c>
      <c r="I39" s="10" t="n">
        <v>3697.7</v>
      </c>
      <c r="K39" s="12" t="n">
        <f aca="false">+H39/G39</f>
        <v>0.371753969431666</v>
      </c>
    </row>
    <row r="42" customFormat="false" ht="12.75" hidden="false" customHeight="false" outlineLevel="0" collapsed="false">
      <c r="A42" s="1" t="s">
        <v>75</v>
      </c>
      <c r="B42" s="1" t="s">
        <v>91</v>
      </c>
      <c r="C42" s="1" t="s">
        <v>92</v>
      </c>
      <c r="D42" s="1" t="s">
        <v>78</v>
      </c>
      <c r="E42" s="2" t="n">
        <v>0</v>
      </c>
      <c r="F42" s="3" t="n">
        <v>0</v>
      </c>
      <c r="G42" s="4" t="n">
        <v>19.7</v>
      </c>
      <c r="H42" s="4" t="n">
        <f aca="false">+I42-G42</f>
        <v>0</v>
      </c>
      <c r="I42" s="10" t="n">
        <v>19.7</v>
      </c>
      <c r="J42" s="9" t="n">
        <v>0</v>
      </c>
    </row>
    <row r="43" customFormat="false" ht="12.75" hidden="false" customHeight="false" outlineLevel="0" collapsed="false">
      <c r="A43" s="1" t="s">
        <v>75</v>
      </c>
      <c r="B43" s="1" t="s">
        <v>91</v>
      </c>
      <c r="C43" s="1" t="s">
        <v>92</v>
      </c>
      <c r="D43" s="1" t="s">
        <v>93</v>
      </c>
      <c r="E43" s="2" t="n">
        <v>723</v>
      </c>
      <c r="F43" s="3" t="n">
        <v>8.26</v>
      </c>
      <c r="G43" s="4" t="n">
        <f aca="false">+E43*F43/100</f>
        <v>59.7198</v>
      </c>
      <c r="H43" s="4" t="n">
        <f aca="false">+I43-G43</f>
        <v>28.92</v>
      </c>
      <c r="I43" s="10" t="n">
        <f aca="false">+E43*J43/100</f>
        <v>88.6398</v>
      </c>
      <c r="J43" s="9" t="n">
        <v>12.26</v>
      </c>
    </row>
    <row r="44" customFormat="false" ht="12.75" hidden="false" customHeight="false" outlineLevel="0" collapsed="false">
      <c r="A44" s="1" t="s">
        <v>75</v>
      </c>
      <c r="B44" s="1" t="s">
        <v>91</v>
      </c>
      <c r="C44" s="1" t="s">
        <v>92</v>
      </c>
      <c r="D44" s="1" t="s">
        <v>94</v>
      </c>
      <c r="E44" s="2" t="n">
        <v>41</v>
      </c>
      <c r="F44" s="3" t="n">
        <v>11.55</v>
      </c>
      <c r="G44" s="4" t="n">
        <f aca="false">+E44*F44/100</f>
        <v>4.7355</v>
      </c>
      <c r="H44" s="4" t="n">
        <f aca="false">+I44-G44</f>
        <v>2.05</v>
      </c>
      <c r="I44" s="10" t="n">
        <f aca="false">+E44*J44/100</f>
        <v>6.7855</v>
      </c>
      <c r="J44" s="9" t="n">
        <v>16.55</v>
      </c>
    </row>
    <row r="46" customFormat="false" ht="12.75" hidden="false" customHeight="false" outlineLevel="0" collapsed="false">
      <c r="A46" s="1" t="s">
        <v>95</v>
      </c>
      <c r="E46" s="2" t="n">
        <v>765.4</v>
      </c>
      <c r="F46" s="3" t="n">
        <f aca="false">+G46/E46*100</f>
        <v>11.1967598641233</v>
      </c>
      <c r="G46" s="4" t="n">
        <v>85.7</v>
      </c>
      <c r="H46" s="4" t="n">
        <v>31.3</v>
      </c>
      <c r="I46" s="10" t="n">
        <v>117</v>
      </c>
      <c r="K46" s="12" t="n">
        <f aca="false">+H46/G46</f>
        <v>0.365227537922987</v>
      </c>
    </row>
    <row r="49" customFormat="false" ht="12.75" hidden="false" customHeight="false" outlineLevel="0" collapsed="false">
      <c r="A49" s="1" t="s">
        <v>33</v>
      </c>
      <c r="B49" s="1" t="s">
        <v>96</v>
      </c>
      <c r="C49" s="1" t="s">
        <v>97</v>
      </c>
      <c r="D49" s="1" t="s">
        <v>78</v>
      </c>
      <c r="E49" s="2" t="n">
        <v>0</v>
      </c>
      <c r="F49" s="3" t="n">
        <v>0</v>
      </c>
      <c r="G49" s="4" t="n">
        <v>131.1</v>
      </c>
      <c r="H49" s="4" t="n">
        <f aca="false">+I49-G49</f>
        <v>0</v>
      </c>
      <c r="I49" s="10" t="n">
        <v>131.1</v>
      </c>
      <c r="J49" s="9" t="n">
        <v>0</v>
      </c>
    </row>
    <row r="50" customFormat="false" ht="12.75" hidden="false" customHeight="false" outlineLevel="0" collapsed="false">
      <c r="A50" s="1" t="s">
        <v>33</v>
      </c>
      <c r="B50" s="1" t="s">
        <v>96</v>
      </c>
      <c r="C50" s="1" t="s">
        <v>97</v>
      </c>
      <c r="D50" s="1" t="s">
        <v>93</v>
      </c>
      <c r="E50" s="2" t="n">
        <v>7889</v>
      </c>
      <c r="F50" s="3" t="n">
        <v>8.17</v>
      </c>
      <c r="G50" s="4" t="n">
        <f aca="false">+E50*F50/100</f>
        <v>644.5313</v>
      </c>
      <c r="H50" s="4" t="n">
        <f aca="false">+I50-G50</f>
        <v>315.56</v>
      </c>
      <c r="I50" s="10" t="n">
        <f aca="false">+E50*J50/100</f>
        <v>960.0913</v>
      </c>
      <c r="J50" s="9" t="n">
        <v>12.17</v>
      </c>
    </row>
    <row r="51" customFormat="false" ht="12.75" hidden="false" customHeight="false" outlineLevel="0" collapsed="false">
      <c r="A51" s="1" t="s">
        <v>33</v>
      </c>
      <c r="B51" s="1" t="s">
        <v>96</v>
      </c>
      <c r="C51" s="1" t="s">
        <v>97</v>
      </c>
      <c r="D51" s="1" t="s">
        <v>94</v>
      </c>
      <c r="E51" s="2" t="n">
        <v>694</v>
      </c>
      <c r="F51" s="3" t="n">
        <v>9.49</v>
      </c>
      <c r="G51" s="4" t="n">
        <f aca="false">+E51*F51/100</f>
        <v>65.8606</v>
      </c>
      <c r="H51" s="4" t="n">
        <f aca="false">+I51-G51</f>
        <v>34.7</v>
      </c>
      <c r="I51" s="10" t="n">
        <f aca="false">+E51*J51/100</f>
        <v>100.5606</v>
      </c>
      <c r="J51" s="9" t="n">
        <v>14.49</v>
      </c>
    </row>
    <row r="53" customFormat="false" ht="12.75" hidden="false" customHeight="false" outlineLevel="0" collapsed="false">
      <c r="A53" s="1" t="s">
        <v>98</v>
      </c>
      <c r="E53" s="2" t="n">
        <v>8890.5</v>
      </c>
      <c r="F53" s="3" t="n">
        <f aca="false">+G53/E53*100</f>
        <v>9.98931443675834</v>
      </c>
      <c r="G53" s="4" t="n">
        <v>888.1</v>
      </c>
      <c r="H53" s="4" t="n">
        <v>377.8</v>
      </c>
      <c r="I53" s="10" t="n">
        <v>1265.9</v>
      </c>
      <c r="K53" s="12" t="n">
        <f aca="false">+H53/G53</f>
        <v>0.425402544758473</v>
      </c>
    </row>
    <row r="56" customFormat="false" ht="12.75" hidden="false" customHeight="false" outlineLevel="0" collapsed="false">
      <c r="A56" s="1" t="s">
        <v>33</v>
      </c>
      <c r="B56" s="1" t="s">
        <v>99</v>
      </c>
      <c r="C56" s="1" t="s">
        <v>100</v>
      </c>
      <c r="D56" s="1" t="s">
        <v>78</v>
      </c>
      <c r="E56" s="2" t="n">
        <v>0</v>
      </c>
      <c r="F56" s="3" t="n">
        <v>0</v>
      </c>
      <c r="G56" s="4" t="n">
        <v>123</v>
      </c>
      <c r="H56" s="4" t="n">
        <f aca="false">+I56-G56</f>
        <v>0</v>
      </c>
      <c r="I56" s="10" t="n">
        <v>123</v>
      </c>
      <c r="J56" s="9" t="n">
        <v>0</v>
      </c>
    </row>
    <row r="57" customFormat="false" ht="12.75" hidden="false" customHeight="false" outlineLevel="0" collapsed="false">
      <c r="A57" s="1" t="s">
        <v>33</v>
      </c>
      <c r="B57" s="1" t="s">
        <v>99</v>
      </c>
      <c r="C57" s="1" t="s">
        <v>100</v>
      </c>
      <c r="D57" s="1" t="s">
        <v>93</v>
      </c>
      <c r="E57" s="2" t="n">
        <v>6847</v>
      </c>
      <c r="F57" s="3" t="n">
        <v>7.01</v>
      </c>
      <c r="G57" s="4" t="n">
        <f aca="false">+E57*F57/100</f>
        <v>479.9747</v>
      </c>
      <c r="H57" s="4" t="n">
        <f aca="false">+I57-G57</f>
        <v>273.88</v>
      </c>
      <c r="I57" s="10" t="n">
        <f aca="false">+E57*J57/100</f>
        <v>753.8547</v>
      </c>
      <c r="J57" s="9" t="n">
        <v>11.01</v>
      </c>
    </row>
    <row r="58" customFormat="false" ht="12.75" hidden="false" customHeight="false" outlineLevel="0" collapsed="false">
      <c r="A58" s="1" t="s">
        <v>33</v>
      </c>
      <c r="B58" s="1" t="s">
        <v>99</v>
      </c>
      <c r="C58" s="1" t="s">
        <v>100</v>
      </c>
      <c r="D58" s="1" t="s">
        <v>94</v>
      </c>
      <c r="E58" s="2" t="n">
        <v>513</v>
      </c>
      <c r="F58" s="3" t="n">
        <v>9.42</v>
      </c>
      <c r="G58" s="4" t="n">
        <f aca="false">+E58*F58/100</f>
        <v>48.3246</v>
      </c>
      <c r="H58" s="4" t="n">
        <f aca="false">+I58-G58</f>
        <v>25.7013</v>
      </c>
      <c r="I58" s="10" t="n">
        <f aca="false">+E58*J58/100</f>
        <v>74.0259</v>
      </c>
      <c r="J58" s="9" t="n">
        <v>14.43</v>
      </c>
    </row>
    <row r="60" customFormat="false" ht="12.75" hidden="false" customHeight="false" outlineLevel="0" collapsed="false">
      <c r="A60" s="1" t="s">
        <v>101</v>
      </c>
      <c r="E60" s="2" t="n">
        <v>7623.3</v>
      </c>
      <c r="F60" s="3" t="n">
        <f aca="false">+G60/E60*100</f>
        <v>9.1705691760786</v>
      </c>
      <c r="G60" s="4" t="n">
        <v>699.1</v>
      </c>
      <c r="H60" s="4" t="n">
        <v>323.9</v>
      </c>
      <c r="I60" s="10" t="n">
        <v>1023</v>
      </c>
      <c r="K60" s="12" t="n">
        <f aca="false">+H60/G60</f>
        <v>0.463309969961379</v>
      </c>
    </row>
    <row r="63" customFormat="false" ht="12.75" hidden="false" customHeight="false" outlineLevel="0" collapsed="false">
      <c r="A63" s="1" t="s">
        <v>33</v>
      </c>
      <c r="B63" s="1" t="s">
        <v>102</v>
      </c>
      <c r="C63" s="1" t="s">
        <v>100</v>
      </c>
      <c r="D63" s="1" t="s">
        <v>78</v>
      </c>
      <c r="E63" s="2" t="n">
        <v>0</v>
      </c>
      <c r="F63" s="3" t="n">
        <v>0</v>
      </c>
      <c r="G63" s="4" t="n">
        <v>46.8</v>
      </c>
      <c r="H63" s="4" t="n">
        <f aca="false">+I63-G63</f>
        <v>0</v>
      </c>
      <c r="I63" s="10" t="n">
        <v>46.8</v>
      </c>
      <c r="J63" s="9" t="n">
        <v>0</v>
      </c>
    </row>
    <row r="64" customFormat="false" ht="12.75" hidden="false" customHeight="false" outlineLevel="0" collapsed="false">
      <c r="A64" s="1" t="s">
        <v>33</v>
      </c>
      <c r="B64" s="1" t="s">
        <v>102</v>
      </c>
      <c r="C64" s="1" t="s">
        <v>100</v>
      </c>
      <c r="D64" s="1" t="s">
        <v>93</v>
      </c>
      <c r="E64" s="2" t="n">
        <v>7618</v>
      </c>
      <c r="F64" s="3" t="n">
        <v>5.06</v>
      </c>
      <c r="G64" s="4" t="n">
        <f aca="false">+E64*F64/100</f>
        <v>385.4708</v>
      </c>
      <c r="H64" s="4" t="n">
        <f aca="false">+I64-G64</f>
        <v>303.1964</v>
      </c>
      <c r="I64" s="10" t="n">
        <f aca="false">+E64*J64/100</f>
        <v>688.6672</v>
      </c>
      <c r="J64" s="9" t="n">
        <v>9.04</v>
      </c>
    </row>
    <row r="65" customFormat="false" ht="12.75" hidden="false" customHeight="false" outlineLevel="0" collapsed="false">
      <c r="A65" s="1" t="s">
        <v>33</v>
      </c>
      <c r="B65" s="1" t="s">
        <v>102</v>
      </c>
      <c r="C65" s="1" t="s">
        <v>100</v>
      </c>
      <c r="D65" s="1" t="s">
        <v>94</v>
      </c>
      <c r="E65" s="2" t="n">
        <v>425</v>
      </c>
      <c r="F65" s="3" t="n">
        <v>7.4</v>
      </c>
      <c r="G65" s="4" t="n">
        <f aca="false">+E65*F65/100</f>
        <v>31.45</v>
      </c>
      <c r="H65" s="4" t="n">
        <f aca="false">+I65-G65</f>
        <v>23.12</v>
      </c>
      <c r="I65" s="10" t="n">
        <f aca="false">+E65*J65/100</f>
        <v>54.57</v>
      </c>
      <c r="J65" s="9" t="n">
        <v>12.84</v>
      </c>
    </row>
    <row r="67" customFormat="false" ht="12.75" hidden="false" customHeight="false" outlineLevel="0" collapsed="false">
      <c r="A67" s="1" t="s">
        <v>103</v>
      </c>
      <c r="E67" s="2" t="n">
        <v>8331.1</v>
      </c>
      <c r="F67" s="3" t="n">
        <f aca="false">+G67/E67*100</f>
        <v>6.68699211388652</v>
      </c>
      <c r="G67" s="4" t="n">
        <v>557.1</v>
      </c>
      <c r="H67" s="4" t="n">
        <v>354</v>
      </c>
      <c r="I67" s="10" t="n">
        <v>911.1</v>
      </c>
      <c r="K67" s="12" t="n">
        <f aca="false">+H67/G67</f>
        <v>0.635433494884222</v>
      </c>
    </row>
    <row r="70" customFormat="false" ht="12.75" hidden="false" customHeight="false" outlineLevel="0" collapsed="false">
      <c r="A70" s="1" t="s">
        <v>104</v>
      </c>
      <c r="B70" s="1" t="s">
        <v>105</v>
      </c>
      <c r="C70" s="1" t="s">
        <v>106</v>
      </c>
      <c r="D70" s="1" t="s">
        <v>78</v>
      </c>
      <c r="E70" s="2" t="n">
        <v>0</v>
      </c>
      <c r="F70" s="3" t="n">
        <v>0</v>
      </c>
      <c r="G70" s="4" t="n">
        <v>30.6</v>
      </c>
      <c r="H70" s="4" t="n">
        <f aca="false">+I70-G70</f>
        <v>0</v>
      </c>
      <c r="I70" s="10" t="n">
        <v>30.6</v>
      </c>
      <c r="J70" s="9" t="n">
        <v>0</v>
      </c>
    </row>
    <row r="71" customFormat="false" ht="12.75" hidden="false" customHeight="false" outlineLevel="0" collapsed="false">
      <c r="A71" s="1" t="s">
        <v>104</v>
      </c>
      <c r="B71" s="1" t="s">
        <v>105</v>
      </c>
      <c r="C71" s="1" t="s">
        <v>106</v>
      </c>
      <c r="D71" s="1" t="s">
        <v>79</v>
      </c>
      <c r="E71" s="2" t="n">
        <v>176</v>
      </c>
      <c r="F71" s="3" t="n">
        <v>9.17</v>
      </c>
      <c r="G71" s="4" t="n">
        <f aca="false">+E71*F71/100</f>
        <v>16.1392</v>
      </c>
      <c r="H71" s="4" t="n">
        <f aca="false">+I71-G71</f>
        <v>6.3712</v>
      </c>
      <c r="I71" s="10" t="n">
        <f aca="false">+E71*J71/100</f>
        <v>22.5104</v>
      </c>
      <c r="J71" s="9" t="n">
        <v>12.79</v>
      </c>
    </row>
    <row r="72" customFormat="false" ht="12.75" hidden="false" customHeight="false" outlineLevel="0" collapsed="false">
      <c r="A72" s="1" t="s">
        <v>104</v>
      </c>
      <c r="B72" s="1" t="s">
        <v>105</v>
      </c>
      <c r="C72" s="1" t="s">
        <v>106</v>
      </c>
      <c r="D72" s="1" t="s">
        <v>80</v>
      </c>
      <c r="E72" s="2" t="n">
        <v>144</v>
      </c>
      <c r="F72" s="3" t="n">
        <v>9.17</v>
      </c>
      <c r="G72" s="4" t="n">
        <f aca="false">+E72*F72/100</f>
        <v>13.2048</v>
      </c>
      <c r="H72" s="4" t="n">
        <f aca="false">+I72-G72</f>
        <v>5.2128</v>
      </c>
      <c r="I72" s="10" t="n">
        <f aca="false">+E72*J72/100</f>
        <v>18.4176</v>
      </c>
      <c r="J72" s="9" t="n">
        <v>12.79</v>
      </c>
    </row>
    <row r="73" customFormat="false" ht="12.75" hidden="false" customHeight="false" outlineLevel="0" collapsed="false">
      <c r="A73" s="1" t="s">
        <v>104</v>
      </c>
      <c r="B73" s="1" t="s">
        <v>105</v>
      </c>
      <c r="C73" s="1" t="s">
        <v>106</v>
      </c>
      <c r="D73" s="1" t="s">
        <v>81</v>
      </c>
      <c r="E73" s="2" t="n">
        <v>177</v>
      </c>
      <c r="F73" s="3" t="n">
        <v>9.17</v>
      </c>
      <c r="G73" s="4" t="n">
        <f aca="false">+E73*F73/100</f>
        <v>16.2309</v>
      </c>
      <c r="H73" s="4" t="n">
        <f aca="false">+I73-G73</f>
        <v>6.4074</v>
      </c>
      <c r="I73" s="10" t="n">
        <f aca="false">+E73*J73/100</f>
        <v>22.6383</v>
      </c>
      <c r="J73" s="9" t="n">
        <v>12.79</v>
      </c>
    </row>
    <row r="74" customFormat="false" ht="12.75" hidden="false" customHeight="false" outlineLevel="0" collapsed="false">
      <c r="A74" s="1" t="s">
        <v>104</v>
      </c>
      <c r="B74" s="1" t="s">
        <v>105</v>
      </c>
      <c r="C74" s="1" t="s">
        <v>106</v>
      </c>
      <c r="D74" s="1" t="s">
        <v>82</v>
      </c>
      <c r="E74" s="2" t="n">
        <v>145</v>
      </c>
      <c r="F74" s="3" t="n">
        <v>9.17</v>
      </c>
      <c r="G74" s="4" t="n">
        <f aca="false">+E74*F74/100</f>
        <v>13.2965</v>
      </c>
      <c r="H74" s="4" t="n">
        <f aca="false">+I74-G74</f>
        <v>5.249</v>
      </c>
      <c r="I74" s="10" t="n">
        <f aca="false">+E74*J74/100</f>
        <v>18.5455</v>
      </c>
      <c r="J74" s="9" t="n">
        <v>12.79</v>
      </c>
    </row>
    <row r="76" customFormat="false" ht="12.75" hidden="false" customHeight="false" outlineLevel="0" collapsed="false">
      <c r="A76" s="1" t="s">
        <v>107</v>
      </c>
      <c r="E76" s="2" t="n">
        <v>679.4</v>
      </c>
      <c r="F76" s="3" t="n">
        <f aca="false">+G76/E76*100</f>
        <v>13.8504562849573</v>
      </c>
      <c r="G76" s="4" t="n">
        <v>94.1</v>
      </c>
      <c r="H76" s="4" t="n">
        <v>14.1</v>
      </c>
      <c r="I76" s="10" t="n">
        <v>108.2</v>
      </c>
      <c r="K76" s="12" t="n">
        <f aca="false">+H76/G76</f>
        <v>0.149840595111583</v>
      </c>
    </row>
    <row r="79" customFormat="false" ht="12.75" hidden="false" customHeight="false" outlineLevel="0" collapsed="false">
      <c r="A79" s="1" t="s">
        <v>104</v>
      </c>
      <c r="B79" s="1" t="s">
        <v>108</v>
      </c>
      <c r="C79" s="1" t="s">
        <v>106</v>
      </c>
      <c r="D79" s="1" t="s">
        <v>78</v>
      </c>
      <c r="E79" s="2" t="n">
        <v>0</v>
      </c>
      <c r="F79" s="3" t="n">
        <v>0</v>
      </c>
      <c r="G79" s="4" t="n">
        <v>12.7</v>
      </c>
      <c r="H79" s="4" t="n">
        <f aca="false">+I79-G79</f>
        <v>0</v>
      </c>
      <c r="I79" s="10" t="n">
        <v>12.7</v>
      </c>
      <c r="J79" s="9" t="n">
        <v>0</v>
      </c>
    </row>
    <row r="80" customFormat="false" ht="12.75" hidden="false" customHeight="false" outlineLevel="0" collapsed="false">
      <c r="A80" s="1" t="s">
        <v>104</v>
      </c>
      <c r="B80" s="1" t="s">
        <v>108</v>
      </c>
      <c r="C80" s="1" t="s">
        <v>106</v>
      </c>
      <c r="D80" s="1" t="s">
        <v>86</v>
      </c>
      <c r="E80" s="2" t="n">
        <v>171</v>
      </c>
      <c r="F80" s="3" t="n">
        <v>8.12</v>
      </c>
      <c r="G80" s="4" t="n">
        <f aca="false">+E80*F80/100</f>
        <v>13.8852</v>
      </c>
      <c r="H80" s="4" t="n">
        <f aca="false">+I80-G80</f>
        <v>5.4036</v>
      </c>
      <c r="I80" s="10" t="n">
        <f aca="false">+E80*J80/100</f>
        <v>19.2888</v>
      </c>
      <c r="J80" s="9" t="n">
        <v>11.28</v>
      </c>
    </row>
    <row r="81" customFormat="false" ht="12.75" hidden="false" customHeight="false" outlineLevel="0" collapsed="false">
      <c r="A81" s="1" t="s">
        <v>104</v>
      </c>
      <c r="B81" s="1" t="s">
        <v>108</v>
      </c>
      <c r="C81" s="1" t="s">
        <v>106</v>
      </c>
      <c r="D81" s="1" t="s">
        <v>87</v>
      </c>
      <c r="E81" s="2" t="n">
        <v>114</v>
      </c>
      <c r="F81" s="3" t="n">
        <v>5.09</v>
      </c>
      <c r="G81" s="4" t="n">
        <f aca="false">+E81*F81/100</f>
        <v>5.8026</v>
      </c>
      <c r="H81" s="4" t="n">
        <f aca="false">+I81-G81</f>
        <v>9.7242</v>
      </c>
      <c r="I81" s="10" t="n">
        <f aca="false">+E81*J81/100</f>
        <v>15.5268</v>
      </c>
      <c r="J81" s="9" t="n">
        <v>13.62</v>
      </c>
    </row>
    <row r="82" customFormat="false" ht="12.75" hidden="false" customHeight="false" outlineLevel="0" collapsed="false">
      <c r="A82" s="1" t="s">
        <v>104</v>
      </c>
      <c r="B82" s="1" t="s">
        <v>108</v>
      </c>
      <c r="C82" s="1" t="s">
        <v>106</v>
      </c>
      <c r="D82" s="1" t="s">
        <v>88</v>
      </c>
      <c r="E82" s="2" t="n">
        <v>257</v>
      </c>
      <c r="F82" s="3" t="n">
        <v>8.12</v>
      </c>
      <c r="G82" s="4" t="n">
        <f aca="false">+E82*F82/100</f>
        <v>20.8684</v>
      </c>
      <c r="H82" s="4" t="n">
        <f aca="false">+I82-G82</f>
        <v>4.1634</v>
      </c>
      <c r="I82" s="10" t="n">
        <f aca="false">+E82*J82/100</f>
        <v>25.0318</v>
      </c>
      <c r="J82" s="9" t="n">
        <v>9.74</v>
      </c>
    </row>
    <row r="83" customFormat="false" ht="12.75" hidden="false" customHeight="false" outlineLevel="0" collapsed="false">
      <c r="A83" s="1" t="s">
        <v>104</v>
      </c>
      <c r="B83" s="1" t="s">
        <v>108</v>
      </c>
      <c r="C83" s="1" t="s">
        <v>106</v>
      </c>
      <c r="D83" s="1" t="s">
        <v>89</v>
      </c>
      <c r="E83" s="2" t="n">
        <v>129</v>
      </c>
      <c r="F83" s="3" t="n">
        <v>5.09</v>
      </c>
      <c r="G83" s="4" t="n">
        <f aca="false">+E83*F83/100</f>
        <v>6.5661</v>
      </c>
      <c r="H83" s="4" t="n">
        <f aca="false">+I83-G83</f>
        <v>4.9794</v>
      </c>
      <c r="I83" s="10" t="n">
        <f aca="false">+E83*J83/100</f>
        <v>11.5455</v>
      </c>
      <c r="J83" s="9" t="n">
        <v>8.95</v>
      </c>
    </row>
    <row r="85" customFormat="false" ht="12.75" hidden="false" customHeight="false" outlineLevel="0" collapsed="false">
      <c r="A85" s="1" t="s">
        <v>109</v>
      </c>
      <c r="E85" s="2" t="n">
        <v>709.4</v>
      </c>
      <c r="F85" s="3" t="n">
        <f aca="false">+G85/E85*100</f>
        <v>9.61375810544122</v>
      </c>
      <c r="G85" s="4" t="n">
        <v>68.2</v>
      </c>
      <c r="H85" s="4" t="n">
        <v>10.2</v>
      </c>
      <c r="I85" s="10" t="n">
        <v>78.5</v>
      </c>
      <c r="K85" s="12" t="n">
        <f aca="false">+H85/G85</f>
        <v>0.149560117302053</v>
      </c>
    </row>
    <row r="88" customFormat="false" ht="12.75" hidden="false" customHeight="false" outlineLevel="0" collapsed="false">
      <c r="A88" s="1" t="s">
        <v>104</v>
      </c>
      <c r="B88" s="1" t="s">
        <v>110</v>
      </c>
      <c r="C88" s="1" t="s">
        <v>106</v>
      </c>
      <c r="D88" s="1" t="s">
        <v>78</v>
      </c>
      <c r="E88" s="2" t="n">
        <v>0</v>
      </c>
      <c r="F88" s="3" t="n">
        <v>0</v>
      </c>
      <c r="G88" s="4" t="n">
        <v>21.9</v>
      </c>
      <c r="H88" s="4" t="n">
        <f aca="false">+I88-G88</f>
        <v>0</v>
      </c>
      <c r="I88" s="10" t="n">
        <v>21.9</v>
      </c>
      <c r="J88" s="9" t="n">
        <v>0</v>
      </c>
    </row>
    <row r="89" customFormat="false" ht="12.75" hidden="false" customHeight="false" outlineLevel="0" collapsed="false">
      <c r="A89" s="1" t="s">
        <v>104</v>
      </c>
      <c r="B89" s="1" t="s">
        <v>110</v>
      </c>
      <c r="C89" s="1" t="s">
        <v>106</v>
      </c>
      <c r="D89" s="1" t="s">
        <v>93</v>
      </c>
      <c r="E89" s="2" t="n">
        <v>941</v>
      </c>
      <c r="F89" s="3" t="n">
        <v>6.89</v>
      </c>
      <c r="G89" s="4" t="n">
        <f aca="false">+E89*F89/100</f>
        <v>64.8349</v>
      </c>
      <c r="H89" s="4" t="n">
        <f aca="false">+I89-G89</f>
        <v>24.6542</v>
      </c>
      <c r="I89" s="10" t="n">
        <f aca="false">+E89*J89/100</f>
        <v>89.4891</v>
      </c>
      <c r="J89" s="9" t="n">
        <v>9.51</v>
      </c>
    </row>
    <row r="90" customFormat="false" ht="12.75" hidden="false" customHeight="false" outlineLevel="0" collapsed="false">
      <c r="A90" s="1" t="s">
        <v>104</v>
      </c>
      <c r="B90" s="1" t="s">
        <v>110</v>
      </c>
      <c r="C90" s="1" t="s">
        <v>106</v>
      </c>
      <c r="D90" s="1" t="s">
        <v>94</v>
      </c>
      <c r="E90" s="2" t="n">
        <v>111</v>
      </c>
      <c r="F90" s="3" t="n">
        <v>13.09</v>
      </c>
      <c r="G90" s="4" t="n">
        <f aca="false">+E90*F90/100</f>
        <v>14.5299</v>
      </c>
      <c r="H90" s="4" t="n">
        <f aca="false">+I90-G90</f>
        <v>2.9082</v>
      </c>
      <c r="I90" s="10" t="n">
        <f aca="false">+E90*J90/100</f>
        <v>17.4381</v>
      </c>
      <c r="J90" s="9" t="n">
        <v>15.71</v>
      </c>
    </row>
    <row r="92" customFormat="false" ht="12.75" hidden="false" customHeight="false" outlineLevel="0" collapsed="false">
      <c r="A92" s="1" t="s">
        <v>111</v>
      </c>
      <c r="E92" s="2" t="n">
        <v>1112.9</v>
      </c>
      <c r="F92" s="3" t="n">
        <f aca="false">+G92/E92*100</f>
        <v>9.22814269026867</v>
      </c>
      <c r="G92" s="4" t="n">
        <v>102.7</v>
      </c>
      <c r="H92" s="4" t="n">
        <v>20.5</v>
      </c>
      <c r="I92" s="10" t="n">
        <v>123.3</v>
      </c>
      <c r="K92" s="12" t="n">
        <f aca="false">+H92/G92</f>
        <v>0.199610516066212</v>
      </c>
    </row>
    <row r="95" customFormat="false" ht="12.75" hidden="false" customHeight="false" outlineLevel="0" collapsed="false">
      <c r="A95" s="1" t="s">
        <v>104</v>
      </c>
      <c r="B95" s="1" t="s">
        <v>112</v>
      </c>
      <c r="C95" s="1" t="s">
        <v>106</v>
      </c>
      <c r="D95" s="1" t="s">
        <v>78</v>
      </c>
      <c r="E95" s="2" t="n">
        <v>0</v>
      </c>
      <c r="F95" s="3" t="n">
        <v>0</v>
      </c>
      <c r="G95" s="4" t="n">
        <v>8.4</v>
      </c>
      <c r="H95" s="4" t="n">
        <f aca="false">+I95-G95</f>
        <v>0</v>
      </c>
      <c r="I95" s="10" t="n">
        <v>8.4</v>
      </c>
      <c r="J95" s="9" t="n">
        <v>0</v>
      </c>
    </row>
    <row r="96" customFormat="false" ht="12.75" hidden="false" customHeight="false" outlineLevel="0" collapsed="false">
      <c r="A96" s="1" t="s">
        <v>104</v>
      </c>
      <c r="B96" s="1" t="s">
        <v>112</v>
      </c>
      <c r="C96" s="1" t="s">
        <v>106</v>
      </c>
      <c r="D96" s="1" t="s">
        <v>93</v>
      </c>
      <c r="E96" s="2" t="n">
        <v>537</v>
      </c>
      <c r="F96" s="3" t="n">
        <v>7.02</v>
      </c>
      <c r="G96" s="4" t="n">
        <f aca="false">+E96*F96/100</f>
        <v>37.6974</v>
      </c>
      <c r="H96" s="4" t="n">
        <f aca="false">+I96-G96</f>
        <v>19.4394</v>
      </c>
      <c r="I96" s="10" t="n">
        <f aca="false">+E96*J96/100</f>
        <v>57.1368</v>
      </c>
      <c r="J96" s="9" t="n">
        <v>10.64</v>
      </c>
    </row>
    <row r="97" customFormat="false" ht="12.75" hidden="false" customHeight="false" outlineLevel="0" collapsed="false">
      <c r="A97" s="1" t="s">
        <v>104</v>
      </c>
      <c r="B97" s="1" t="s">
        <v>112</v>
      </c>
      <c r="C97" s="1" t="s">
        <v>106</v>
      </c>
      <c r="D97" s="1" t="s">
        <v>94</v>
      </c>
      <c r="E97" s="2" t="n">
        <v>44</v>
      </c>
      <c r="F97" s="3" t="n">
        <v>7.95</v>
      </c>
      <c r="G97" s="4" t="n">
        <f aca="false">+E97*F97/100</f>
        <v>3.498</v>
      </c>
      <c r="H97" s="4" t="n">
        <f aca="false">+I97-G97</f>
        <v>9.1828</v>
      </c>
      <c r="I97" s="10" t="n">
        <f aca="false">+E97*J97/100</f>
        <v>12.6808</v>
      </c>
      <c r="J97" s="9" t="n">
        <v>28.82</v>
      </c>
    </row>
    <row r="99" customFormat="false" ht="12.75" hidden="false" customHeight="false" outlineLevel="0" collapsed="false">
      <c r="A99" s="1" t="s">
        <v>113</v>
      </c>
      <c r="E99" s="2" t="n">
        <v>614.1</v>
      </c>
      <c r="F99" s="3" t="n">
        <f aca="false">+G99/E99*100</f>
        <v>8.12571242468653</v>
      </c>
      <c r="G99" s="4" t="n">
        <v>49.9</v>
      </c>
      <c r="H99" s="4" t="n">
        <v>10</v>
      </c>
      <c r="I99" s="10" t="n">
        <v>59.8</v>
      </c>
      <c r="K99" s="12" t="n">
        <f aca="false">+H99/G99</f>
        <v>0.200400801603206</v>
      </c>
    </row>
    <row r="102" customFormat="false" ht="12.75" hidden="false" customHeight="false" outlineLevel="0" collapsed="false">
      <c r="A102" s="1" t="s">
        <v>114</v>
      </c>
      <c r="B102" s="1" t="s">
        <v>115</v>
      </c>
      <c r="D102" s="1" t="s">
        <v>78</v>
      </c>
      <c r="E102" s="2" t="n">
        <v>0</v>
      </c>
      <c r="F102" s="3" t="n">
        <v>0</v>
      </c>
      <c r="G102" s="4" t="n">
        <v>2.6</v>
      </c>
      <c r="H102" s="4" t="n">
        <f aca="false">+I102-G102</f>
        <v>0</v>
      </c>
      <c r="I102" s="10" t="n">
        <v>2.6</v>
      </c>
      <c r="J102" s="9" t="n">
        <v>0</v>
      </c>
    </row>
    <row r="103" customFormat="false" ht="12.75" hidden="false" customHeight="false" outlineLevel="0" collapsed="false">
      <c r="A103" s="1" t="s">
        <v>114</v>
      </c>
      <c r="B103" s="1" t="s">
        <v>115</v>
      </c>
      <c r="D103" s="1" t="s">
        <v>79</v>
      </c>
      <c r="E103" s="2" t="n">
        <v>34</v>
      </c>
      <c r="F103" s="3" t="n">
        <v>6.49</v>
      </c>
      <c r="G103" s="4" t="n">
        <f aca="false">+E103*F103/100</f>
        <v>2.2066</v>
      </c>
      <c r="H103" s="4" t="n">
        <f aca="false">+I103-G103</f>
        <v>1.3736</v>
      </c>
      <c r="I103" s="10" t="n">
        <f aca="false">+E103*J103/100</f>
        <v>3.5802</v>
      </c>
      <c r="J103" s="9" t="n">
        <v>10.53</v>
      </c>
    </row>
    <row r="104" customFormat="false" ht="12.75" hidden="false" customHeight="false" outlineLevel="0" collapsed="false">
      <c r="A104" s="1" t="s">
        <v>114</v>
      </c>
      <c r="B104" s="1" t="s">
        <v>115</v>
      </c>
      <c r="D104" s="1" t="s">
        <v>80</v>
      </c>
      <c r="E104" s="2" t="n">
        <v>28</v>
      </c>
      <c r="F104" s="3" t="n">
        <v>6.49</v>
      </c>
      <c r="G104" s="4" t="n">
        <f aca="false">+E104*F104/100</f>
        <v>1.8172</v>
      </c>
      <c r="H104" s="4" t="n">
        <f aca="false">+I104-G104</f>
        <v>1.1312</v>
      </c>
      <c r="I104" s="10" t="n">
        <f aca="false">+E104*J104/100</f>
        <v>2.9484</v>
      </c>
      <c r="J104" s="9" t="n">
        <v>10.53</v>
      </c>
    </row>
    <row r="105" customFormat="false" ht="12.75" hidden="false" customHeight="false" outlineLevel="0" collapsed="false">
      <c r="A105" s="1" t="s">
        <v>114</v>
      </c>
      <c r="B105" s="1" t="s">
        <v>115</v>
      </c>
      <c r="D105" s="1" t="s">
        <v>81</v>
      </c>
      <c r="E105" s="2" t="n">
        <v>68</v>
      </c>
      <c r="F105" s="3" t="n">
        <v>6.49</v>
      </c>
      <c r="G105" s="4" t="n">
        <f aca="false">+E105*F105/100</f>
        <v>4.4132</v>
      </c>
      <c r="H105" s="4" t="n">
        <f aca="false">+I105-G105</f>
        <v>2.7472</v>
      </c>
      <c r="I105" s="10" t="n">
        <f aca="false">+E105*J105/100</f>
        <v>7.1604</v>
      </c>
      <c r="J105" s="9" t="n">
        <v>10.53</v>
      </c>
    </row>
    <row r="106" customFormat="false" ht="12.75" hidden="false" customHeight="false" outlineLevel="0" collapsed="false">
      <c r="A106" s="1" t="s">
        <v>114</v>
      </c>
      <c r="B106" s="1" t="s">
        <v>115</v>
      </c>
      <c r="D106" s="1" t="s">
        <v>82</v>
      </c>
      <c r="E106" s="2" t="n">
        <v>56</v>
      </c>
      <c r="F106" s="3" t="n">
        <v>6.49</v>
      </c>
      <c r="G106" s="4" t="n">
        <f aca="false">+E106*F106/100</f>
        <v>3.6344</v>
      </c>
      <c r="H106" s="4" t="n">
        <f aca="false">+I106-G106</f>
        <v>2.2624</v>
      </c>
      <c r="I106" s="10" t="n">
        <f aca="false">+E106*J106/100</f>
        <v>5.8968</v>
      </c>
      <c r="J106" s="9" t="n">
        <v>10.53</v>
      </c>
    </row>
    <row r="108" customFormat="false" ht="12.75" hidden="false" customHeight="false" outlineLevel="0" collapsed="false">
      <c r="A108" s="1" t="s">
        <v>116</v>
      </c>
      <c r="E108" s="2" t="n">
        <v>0</v>
      </c>
      <c r="F108" s="3" t="n">
        <v>0</v>
      </c>
      <c r="G108" s="4" t="n">
        <v>0</v>
      </c>
      <c r="H108" s="4" t="n">
        <v>0</v>
      </c>
      <c r="I108" s="10" t="n">
        <v>0</v>
      </c>
      <c r="K108" s="12" t="e">
        <f aca="false">+H108/G108</f>
        <v>#DIV/0!</v>
      </c>
    </row>
    <row r="111" customFormat="false" ht="12.75" hidden="false" customHeight="false" outlineLevel="0" collapsed="false">
      <c r="A111" s="1" t="s">
        <v>117</v>
      </c>
      <c r="D111" s="1" t="s">
        <v>78</v>
      </c>
      <c r="E111" s="2" t="n">
        <v>0</v>
      </c>
      <c r="F111" s="3" t="n">
        <v>0</v>
      </c>
      <c r="G111" s="4" t="n">
        <v>5.9</v>
      </c>
      <c r="H111" s="4" t="n">
        <f aca="false">+I111-G111</f>
        <v>0</v>
      </c>
      <c r="I111" s="10" t="n">
        <v>5.9</v>
      </c>
      <c r="J111" s="9" t="n">
        <v>0</v>
      </c>
    </row>
    <row r="112" customFormat="false" ht="12.75" hidden="false" customHeight="false" outlineLevel="0" collapsed="false">
      <c r="A112" s="1" t="s">
        <v>117</v>
      </c>
      <c r="D112" s="1" t="s">
        <v>79</v>
      </c>
      <c r="E112" s="2" t="n">
        <v>89</v>
      </c>
      <c r="F112" s="3" t="n">
        <v>5.04</v>
      </c>
      <c r="G112" s="4" t="n">
        <f aca="false">+E112*F112/100</f>
        <v>4.4856</v>
      </c>
      <c r="H112" s="4" t="n">
        <f aca="false">+I112-G112</f>
        <v>4.1118</v>
      </c>
      <c r="I112" s="10" t="n">
        <f aca="false">+E112*J112/100</f>
        <v>8.5974</v>
      </c>
      <c r="J112" s="9" t="n">
        <v>9.66</v>
      </c>
    </row>
    <row r="113" customFormat="false" ht="12.75" hidden="false" customHeight="false" outlineLevel="0" collapsed="false">
      <c r="A113" s="1" t="s">
        <v>117</v>
      </c>
      <c r="D113" s="1" t="s">
        <v>80</v>
      </c>
      <c r="E113" s="2" t="n">
        <v>72</v>
      </c>
      <c r="F113" s="3" t="n">
        <v>5.04</v>
      </c>
      <c r="G113" s="4" t="n">
        <f aca="false">+E113*F113/100</f>
        <v>3.6288</v>
      </c>
      <c r="H113" s="4" t="n">
        <f aca="false">+I113-G113</f>
        <v>3.3264</v>
      </c>
      <c r="I113" s="10" t="n">
        <f aca="false">+E113*J113/100</f>
        <v>6.9552</v>
      </c>
      <c r="J113" s="9" t="n">
        <v>9.66</v>
      </c>
    </row>
    <row r="114" customFormat="false" ht="12.75" hidden="false" customHeight="false" outlineLevel="0" collapsed="false">
      <c r="A114" s="1" t="s">
        <v>117</v>
      </c>
      <c r="D114" s="1" t="s">
        <v>81</v>
      </c>
      <c r="E114" s="2" t="n">
        <v>187</v>
      </c>
      <c r="F114" s="3" t="n">
        <v>5.04</v>
      </c>
      <c r="G114" s="4" t="n">
        <f aca="false">+E114*F114/100</f>
        <v>9.4248</v>
      </c>
      <c r="H114" s="4" t="n">
        <f aca="false">+I114-G114</f>
        <v>8.6394</v>
      </c>
      <c r="I114" s="10" t="n">
        <f aca="false">+E114*J114/100</f>
        <v>18.0642</v>
      </c>
      <c r="J114" s="9" t="n">
        <v>9.66</v>
      </c>
    </row>
    <row r="115" customFormat="false" ht="12.75" hidden="false" customHeight="false" outlineLevel="0" collapsed="false">
      <c r="A115" s="1" t="s">
        <v>117</v>
      </c>
      <c r="D115" s="1" t="s">
        <v>82</v>
      </c>
      <c r="E115" s="2" t="n">
        <v>153</v>
      </c>
      <c r="F115" s="3" t="n">
        <v>5.04</v>
      </c>
      <c r="G115" s="4" t="n">
        <f aca="false">+E115*F115/100</f>
        <v>7.7112</v>
      </c>
      <c r="H115" s="4" t="n">
        <f aca="false">+I115-G115</f>
        <v>7.0686</v>
      </c>
      <c r="I115" s="10" t="n">
        <f aca="false">+E115*J115/100</f>
        <v>14.7798</v>
      </c>
      <c r="J115" s="9" t="n">
        <v>9.66</v>
      </c>
    </row>
    <row r="117" customFormat="false" ht="12.75" hidden="false" customHeight="false" outlineLevel="0" collapsed="false">
      <c r="A117" s="1" t="s">
        <v>62</v>
      </c>
      <c r="E117" s="2" t="n">
        <v>529.3</v>
      </c>
      <c r="F117" s="3" t="n">
        <f aca="false">+G117/E117*100</f>
        <v>14.7742301152466</v>
      </c>
      <c r="G117" s="4" t="n">
        <v>78.2</v>
      </c>
      <c r="H117" s="4" t="n">
        <v>16.2</v>
      </c>
      <c r="I117" s="10" t="n">
        <v>94.4</v>
      </c>
    </row>
    <row r="120" customFormat="false" ht="12.75" hidden="false" customHeight="false" outlineLevel="0" collapsed="false">
      <c r="A120" s="28"/>
      <c r="B120" s="28"/>
      <c r="C120" s="28"/>
      <c r="D120" s="28" t="s">
        <v>62</v>
      </c>
      <c r="E120" s="29" t="n">
        <f aca="false">+E11+E20+E30+E39+E46+E53+E60+E67+E76+E85+E92+E99+E108+E117</f>
        <v>83780</v>
      </c>
      <c r="F120" s="30" t="n">
        <f aca="false">+G120/E120*100</f>
        <v>11.3225113392218</v>
      </c>
      <c r="G120" s="29" t="n">
        <f aca="false">+G11+G20+G30+G39+G46+G53+G60+G67+G76+G85+G92+G99+G108+G117</f>
        <v>9486</v>
      </c>
      <c r="H120" s="29" t="n">
        <f aca="false">+H11+H20+H30+H39+H46+H53+H60+H67+H76+H85+H92+H99+H108+H117</f>
        <v>2961</v>
      </c>
      <c r="I120" s="29" t="n">
        <f aca="false">+I11+I20+I30+I39+I46+I53+I60+I67+I76+I85+I92+I99+I108+I117</f>
        <v>12447.1</v>
      </c>
      <c r="J120" s="31"/>
      <c r="K120" s="32" t="n">
        <f aca="false">+H120/G120</f>
        <v>0.312144212523719</v>
      </c>
      <c r="L120" s="28"/>
      <c r="M120" s="28"/>
      <c r="N120" s="28"/>
    </row>
    <row r="123" customFormat="false" ht="12.75" hidden="false" customHeight="false" outlineLevel="0" collapsed="false">
      <c r="E123" s="1" t="s">
        <v>0</v>
      </c>
      <c r="F123" s="3" t="s">
        <v>1</v>
      </c>
      <c r="G123" s="4" t="s">
        <v>1</v>
      </c>
      <c r="H123" s="4" t="s">
        <v>2</v>
      </c>
      <c r="I123" s="10" t="s">
        <v>3</v>
      </c>
      <c r="J123" s="9" t="s">
        <v>4</v>
      </c>
    </row>
    <row r="124" customFormat="false" ht="12.75" hidden="false" customHeight="false" outlineLevel="0" collapsed="false">
      <c r="D124" s="1" t="s">
        <v>8</v>
      </c>
      <c r="E124" s="1" t="s">
        <v>9</v>
      </c>
      <c r="F124" s="3" t="s">
        <v>10</v>
      </c>
      <c r="G124" s="4" t="s">
        <v>11</v>
      </c>
      <c r="H124" s="4" t="s">
        <v>12</v>
      </c>
      <c r="I124" s="10" t="s">
        <v>2</v>
      </c>
      <c r="J124" s="9" t="s">
        <v>13</v>
      </c>
      <c r="K124" s="1" t="s">
        <v>14</v>
      </c>
    </row>
    <row r="126" customFormat="false" ht="12.75" hidden="false" customHeight="false" outlineLevel="0" collapsed="false">
      <c r="D126" s="1" t="s">
        <v>16</v>
      </c>
      <c r="E126" s="2" t="n">
        <f aca="false">+E11+E20</f>
        <v>24918.3</v>
      </c>
      <c r="F126" s="3" t="n">
        <f aca="false">+G126/E126*100</f>
        <v>13.8251806904965</v>
      </c>
      <c r="G126" s="2" t="n">
        <f aca="false">+G11+G20</f>
        <v>3445</v>
      </c>
      <c r="H126" s="2" t="n">
        <f aca="false">+H11+H20</f>
        <v>590.5</v>
      </c>
      <c r="I126" s="2" t="n">
        <f aca="false">+I11+I20</f>
        <v>4035.5</v>
      </c>
      <c r="J126" s="9" t="n">
        <f aca="false">I126/E126*100</f>
        <v>16.1949250149489</v>
      </c>
      <c r="K126" s="12" t="n">
        <f aca="false">(J126-F126)/F126</f>
        <v>0.171407837445573</v>
      </c>
    </row>
    <row r="127" customFormat="false" ht="12.75" hidden="false" customHeight="false" outlineLevel="0" collapsed="false">
      <c r="D127" s="1" t="s">
        <v>23</v>
      </c>
      <c r="E127" s="2" t="n">
        <f aca="false">+E30+E39+E46</f>
        <v>30371.7</v>
      </c>
      <c r="F127" s="3" t="n">
        <f aca="false">+G127/E127*100</f>
        <v>11.5357388621644</v>
      </c>
      <c r="G127" s="2" t="n">
        <f aca="false">+G30+G39+G46</f>
        <v>3503.6</v>
      </c>
      <c r="H127" s="2" t="n">
        <f aca="false">+H30+H39+H46</f>
        <v>1243.8</v>
      </c>
      <c r="I127" s="2" t="n">
        <f aca="false">+I30+I39+I46</f>
        <v>4747.4</v>
      </c>
      <c r="J127" s="9" t="n">
        <f aca="false">I127/E127*100</f>
        <v>15.6309985940859</v>
      </c>
      <c r="K127" s="12" t="n">
        <f aca="false">(J127-F127)/F127</f>
        <v>0.355006279255623</v>
      </c>
    </row>
    <row r="128" customFormat="false" ht="12.75" hidden="false" customHeight="false" outlineLevel="0" collapsed="false">
      <c r="D128" s="1" t="s">
        <v>61</v>
      </c>
      <c r="E128" s="2" t="n">
        <f aca="false">+E76+E85+E92+E99</f>
        <v>3115.8</v>
      </c>
      <c r="F128" s="3" t="n">
        <f aca="false">+G128/E128*100</f>
        <v>10.1065536940754</v>
      </c>
      <c r="G128" s="2" t="n">
        <f aca="false">+G76+G85+G92+G99</f>
        <v>314.9</v>
      </c>
      <c r="H128" s="2" t="n">
        <f aca="false">+H76+H85+H92+H99</f>
        <v>54.8</v>
      </c>
      <c r="I128" s="2" t="n">
        <f aca="false">+I76+I85+I92+I99</f>
        <v>369.8</v>
      </c>
      <c r="J128" s="9" t="n">
        <f aca="false">I128/E128*100</f>
        <v>11.8685409846588</v>
      </c>
      <c r="K128" s="12" t="n">
        <f aca="false">(J128-F128)/F128</f>
        <v>0.174341060654176</v>
      </c>
    </row>
    <row r="129" customFormat="false" ht="12.75" hidden="false" customHeight="false" outlineLevel="0" collapsed="false">
      <c r="D129" s="1" t="s">
        <v>37</v>
      </c>
      <c r="E129" s="2" t="n">
        <f aca="false">+E108+E117</f>
        <v>529.3</v>
      </c>
      <c r="F129" s="3" t="n">
        <f aca="false">+G129/E129*100</f>
        <v>14.7742301152466</v>
      </c>
      <c r="G129" s="2" t="n">
        <f aca="false">+G108+G117</f>
        <v>78.2</v>
      </c>
      <c r="H129" s="2" t="n">
        <f aca="false">+H108+H117</f>
        <v>16.2</v>
      </c>
      <c r="I129" s="2" t="n">
        <f aca="false">+I108+I117</f>
        <v>94.4</v>
      </c>
      <c r="J129" s="9" t="n">
        <f aca="false">I129/E129*100</f>
        <v>17.8348762516531</v>
      </c>
      <c r="K129" s="12" t="n">
        <f aca="false">(J129-F129)/F129</f>
        <v>0.207161125319693</v>
      </c>
    </row>
    <row r="130" customFormat="false" ht="12.75" hidden="false" customHeight="false" outlineLevel="0" collapsed="false">
      <c r="D130" s="1" t="s">
        <v>33</v>
      </c>
      <c r="E130" s="2" t="n">
        <f aca="false">+E53+E60+E67</f>
        <v>24844.9</v>
      </c>
      <c r="F130" s="3" t="n">
        <f aca="false">+G130/E130*100</f>
        <v>8.63074514286634</v>
      </c>
      <c r="G130" s="2" t="n">
        <f aca="false">+G53+G60+G67</f>
        <v>2144.3</v>
      </c>
      <c r="H130" s="2" t="n">
        <f aca="false">+H53+H60+H67</f>
        <v>1055.7</v>
      </c>
      <c r="I130" s="2" t="n">
        <f aca="false">+I53+I60+I67</f>
        <v>3200</v>
      </c>
      <c r="J130" s="9" t="n">
        <f aca="false">I130/E130*100</f>
        <v>12.8799069426723</v>
      </c>
      <c r="K130" s="12" t="n">
        <f aca="false">(J130-F130)/F130</f>
        <v>0.492328498810801</v>
      </c>
    </row>
    <row r="131" customFormat="false" ht="12.75" hidden="false" customHeight="false" outlineLevel="0" collapsed="false">
      <c r="G131" s="2"/>
      <c r="H131" s="2"/>
      <c r="I131" s="2"/>
      <c r="K131" s="12"/>
    </row>
    <row r="132" customFormat="false" ht="12.75" hidden="false" customHeight="false" outlineLevel="0" collapsed="false">
      <c r="D132" s="1" t="s">
        <v>62</v>
      </c>
      <c r="E132" s="2" t="n">
        <f aca="false">SUM(E126:E131)</f>
        <v>83780</v>
      </c>
      <c r="F132" s="3" t="n">
        <f aca="false">+G132/E132*100</f>
        <v>11.3225113392218</v>
      </c>
      <c r="G132" s="2" t="n">
        <f aca="false">SUM(G126:G131)</f>
        <v>9486</v>
      </c>
      <c r="H132" s="2" t="n">
        <f aca="false">SUM(H126:H131)</f>
        <v>2961</v>
      </c>
      <c r="I132" s="2" t="n">
        <f aca="false">SUM(I126:I131)</f>
        <v>12447.1</v>
      </c>
      <c r="J132" s="9" t="n">
        <f aca="false">I132/E132*100</f>
        <v>14.8568870852232</v>
      </c>
      <c r="K132" s="12" t="n">
        <f aca="false">(J132-F132)/F132</f>
        <v>0.312154754374868</v>
      </c>
    </row>
    <row r="133" customFormat="false" ht="12.75" hidden="false" customHeight="false" outlineLevel="0" collapsed="false">
      <c r="K133" s="12"/>
    </row>
    <row r="134" customFormat="false" ht="12.75" hidden="false" customHeight="false" outlineLevel="0" collapsed="false">
      <c r="K134" s="12"/>
    </row>
    <row r="135" customFormat="false" ht="12.75" hidden="false" customHeight="false" outlineLevel="0" collapsed="false">
      <c r="D135" s="1" t="s">
        <v>63</v>
      </c>
      <c r="E135" s="8" t="n">
        <f aca="false">+E11+E20+E30+E39+E46+E76+E85+E92+E99</f>
        <v>58405.8</v>
      </c>
      <c r="F135" s="3" t="n">
        <f aca="false">+G135/E135*100</f>
        <v>12.4362648915005</v>
      </c>
      <c r="G135" s="8" t="n">
        <f aca="false">+G11+G20+G30+G39+G46+G76+G85+G92+G99</f>
        <v>7263.5</v>
      </c>
      <c r="H135" s="8" t="n">
        <f aca="false">+H11+H20+H30+H39+H46+H76+H85+H92+H99</f>
        <v>1889.1</v>
      </c>
      <c r="I135" s="8" t="n">
        <f aca="false">+I11+I20+I30+I39+I46+I76+I85+I92+I99</f>
        <v>9152.7</v>
      </c>
      <c r="J135" s="9" t="n">
        <f aca="false">I135/E135*100</f>
        <v>15.6708751528102</v>
      </c>
      <c r="K135" s="12" t="n">
        <f aca="false">(J135-F135)/F135</f>
        <v>0.260094995525573</v>
      </c>
    </row>
    <row r="136" customFormat="false" ht="12.75" hidden="false" customHeight="false" outlineLevel="0" collapsed="false">
      <c r="D136" s="1" t="s">
        <v>64</v>
      </c>
      <c r="E136" s="8" t="n">
        <f aca="false">+E53+E60+E67+E108+E117</f>
        <v>25374.2</v>
      </c>
      <c r="F136" s="3" t="n">
        <f aca="false">+G136/E136*100</f>
        <v>8.7588968322154</v>
      </c>
      <c r="G136" s="8" t="n">
        <f aca="false">+G53+G60+G67+G108+G117</f>
        <v>2222.5</v>
      </c>
      <c r="H136" s="8" t="n">
        <f aca="false">+H53+H60+H67+H108+H117</f>
        <v>1071.9</v>
      </c>
      <c r="I136" s="8" t="n">
        <f aca="false">+I53+I60+I67+I108+I117</f>
        <v>3294.4</v>
      </c>
      <c r="J136" s="9" t="n">
        <f aca="false">I136/E136*100</f>
        <v>12.9832664675142</v>
      </c>
      <c r="K136" s="12" t="n">
        <f aca="false">(J136-F136)/F136</f>
        <v>0.482294713160855</v>
      </c>
    </row>
    <row r="137" customFormat="false" ht="12.75" hidden="false" customHeight="false" outlineLevel="0" collapsed="false">
      <c r="D137" s="0"/>
      <c r="E137" s="8"/>
      <c r="G137" s="8"/>
      <c r="H137" s="8"/>
      <c r="I137" s="8"/>
      <c r="J137" s="3"/>
      <c r="K137" s="11"/>
    </row>
    <row r="138" customFormat="false" ht="12.75" hidden="false" customHeight="false" outlineLevel="0" collapsed="false">
      <c r="D138" s="1" t="s">
        <v>62</v>
      </c>
      <c r="E138" s="8" t="n">
        <f aca="false">+E135+E136</f>
        <v>83780</v>
      </c>
      <c r="F138" s="3" t="n">
        <f aca="false">+G138/E138*100</f>
        <v>11.3225113392218</v>
      </c>
      <c r="G138" s="8" t="n">
        <f aca="false">+G135+G136</f>
        <v>9486</v>
      </c>
      <c r="H138" s="8" t="n">
        <f aca="false">+H135+H136</f>
        <v>2961</v>
      </c>
      <c r="I138" s="8" t="n">
        <f aca="false">+I135+I136</f>
        <v>12447.1</v>
      </c>
      <c r="J138" s="9" t="n">
        <f aca="false">I138/E138*100</f>
        <v>14.8568870852232</v>
      </c>
      <c r="K138" s="12" t="n">
        <f aca="false">(J138-F138)/F138</f>
        <v>0.312154754374868</v>
      </c>
    </row>
    <row r="140" customFormat="false" ht="12.75" hidden="false" customHeight="false" outlineLevel="0" collapsed="false">
      <c r="E140" s="2" t="n">
        <f aca="false">+E132-E138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K107"/>
  <sheetViews>
    <sheetView showFormulas="false" showGridLines="true" showRowColHeaders="true" showZeros="true" rightToLeft="false" tabSelected="false" showOutlineSymbols="true" defaultGridColor="true" view="normal" topLeftCell="D58" colorId="64" zoomScale="80" zoomScaleNormal="8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1" width="35.99"/>
    <col collapsed="false" customWidth="true" hidden="false" outlineLevel="0" max="3" min="3" style="1" width="60.7"/>
    <col collapsed="false" customWidth="true" hidden="false" outlineLevel="0" max="4" min="4" style="1" width="34.85"/>
    <col collapsed="false" customWidth="true" hidden="false" outlineLevel="0" max="5" min="5" style="2" width="12.85"/>
    <col collapsed="false" customWidth="true" hidden="false" outlineLevel="0" max="6" min="6" style="3" width="12.28"/>
    <col collapsed="false" customWidth="true" hidden="false" outlineLevel="0" max="8" min="7" style="4" width="13.99"/>
    <col collapsed="false" customWidth="true" hidden="false" outlineLevel="0" max="9" min="9" style="4" width="10.85"/>
    <col collapsed="false" customWidth="true" hidden="false" outlineLevel="0" max="10" min="10" style="3" width="12.28"/>
    <col collapsed="false" customWidth="true" hidden="false" outlineLevel="0" max="11" min="11" style="12" width="10.28"/>
    <col collapsed="false" customWidth="true" hidden="false" outlineLevel="0" max="17" min="12" style="1" width="9.14"/>
  </cols>
  <sheetData>
    <row r="3" customFormat="false" ht="12.75" hidden="false" customHeight="false" outlineLevel="0" collapsed="false">
      <c r="E3" s="2" t="s">
        <v>0</v>
      </c>
      <c r="F3" s="3" t="s">
        <v>1</v>
      </c>
      <c r="G3" s="4" t="s">
        <v>1</v>
      </c>
      <c r="H3" s="4" t="s">
        <v>2</v>
      </c>
      <c r="I3" s="4" t="s">
        <v>3</v>
      </c>
      <c r="J3" s="3" t="s">
        <v>4</v>
      </c>
    </row>
    <row r="4" customFormat="false" ht="12.75" hidden="false" customHeight="false" outlineLevel="0" collapsed="false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3" t="s">
        <v>10</v>
      </c>
      <c r="G4" s="4" t="s">
        <v>11</v>
      </c>
      <c r="H4" s="4" t="s">
        <v>12</v>
      </c>
      <c r="I4" s="4" t="s">
        <v>2</v>
      </c>
      <c r="J4" s="3" t="s">
        <v>13</v>
      </c>
      <c r="K4" s="12" t="s">
        <v>14</v>
      </c>
    </row>
    <row r="6" customFormat="false" ht="12.75" hidden="false" customHeight="false" outlineLevel="0" collapsed="false">
      <c r="D6" s="1" t="s">
        <v>118</v>
      </c>
    </row>
    <row r="7" customFormat="false" ht="12.75" hidden="false" customHeight="false" outlineLevel="0" collapsed="false">
      <c r="A7" s="1" t="s">
        <v>16</v>
      </c>
      <c r="B7" s="1" t="s">
        <v>119</v>
      </c>
      <c r="D7" s="1" t="s">
        <v>120</v>
      </c>
      <c r="E7" s="2" t="n">
        <v>2916</v>
      </c>
      <c r="F7" s="3" t="n">
        <v>12.8</v>
      </c>
      <c r="G7" s="4" t="n">
        <v>374</v>
      </c>
      <c r="I7" s="4" t="n">
        <v>374</v>
      </c>
      <c r="J7" s="3" t="n">
        <v>12.8</v>
      </c>
    </row>
    <row r="8" customFormat="false" ht="12.75" hidden="false" customHeight="false" outlineLevel="0" collapsed="false">
      <c r="A8" s="1" t="s">
        <v>16</v>
      </c>
      <c r="B8" s="1" t="s">
        <v>119</v>
      </c>
      <c r="D8" s="1" t="s">
        <v>121</v>
      </c>
      <c r="E8" s="2" t="n">
        <v>583</v>
      </c>
      <c r="F8" s="3" t="n">
        <v>14.9</v>
      </c>
      <c r="G8" s="4" t="n">
        <v>87.1</v>
      </c>
      <c r="I8" s="4" t="n">
        <v>87.1</v>
      </c>
      <c r="J8" s="3" t="n">
        <v>14.9</v>
      </c>
    </row>
    <row r="9" customFormat="false" ht="12.75" hidden="false" customHeight="false" outlineLevel="0" collapsed="false">
      <c r="A9" s="1" t="s">
        <v>16</v>
      </c>
      <c r="B9" s="1" t="s">
        <v>119</v>
      </c>
      <c r="D9" s="1" t="s">
        <v>122</v>
      </c>
      <c r="E9" s="2" t="n">
        <v>1019</v>
      </c>
      <c r="F9" s="3" t="n">
        <v>14.9</v>
      </c>
      <c r="G9" s="4" t="n">
        <v>152.1</v>
      </c>
      <c r="H9" s="4" t="n">
        <v>39.2</v>
      </c>
      <c r="I9" s="4" t="n">
        <v>191.4</v>
      </c>
      <c r="J9" s="3" t="n">
        <v>18.8</v>
      </c>
    </row>
    <row r="10" customFormat="false" ht="12.75" hidden="false" customHeight="false" outlineLevel="0" collapsed="false">
      <c r="A10" s="1" t="s">
        <v>16</v>
      </c>
      <c r="B10" s="1" t="s">
        <v>119</v>
      </c>
      <c r="D10" s="1" t="s">
        <v>123</v>
      </c>
      <c r="E10" s="2" t="n">
        <v>1284</v>
      </c>
      <c r="F10" s="3" t="n">
        <v>14.9</v>
      </c>
      <c r="G10" s="4" t="n">
        <v>191.6</v>
      </c>
      <c r="H10" s="4" t="n">
        <v>117.7</v>
      </c>
      <c r="I10" s="4" t="n">
        <v>309.2</v>
      </c>
      <c r="J10" s="3" t="n">
        <v>24.1</v>
      </c>
    </row>
    <row r="12" customFormat="false" ht="12.75" hidden="false" customHeight="false" outlineLevel="0" collapsed="false">
      <c r="E12" s="2" t="n">
        <f aca="false">SUM(E7:E11)</f>
        <v>5802</v>
      </c>
      <c r="F12" s="3" t="n">
        <f aca="false">+G12/E12*100</f>
        <v>13.8710789382971</v>
      </c>
      <c r="G12" s="4" t="n">
        <f aca="false">SUM(G7:G11)</f>
        <v>804.8</v>
      </c>
      <c r="H12" s="4" t="n">
        <f aca="false">SUM(H7:H10)</f>
        <v>156.9</v>
      </c>
      <c r="I12" s="4" t="n">
        <f aca="false">SUM(I7:I10)</f>
        <v>961.7</v>
      </c>
      <c r="J12" s="3" t="n">
        <f aca="false">+I12/E12*100</f>
        <v>16.575318855567</v>
      </c>
    </row>
    <row r="15" customFormat="false" ht="12.75" hidden="false" customHeight="false" outlineLevel="0" collapsed="false">
      <c r="A15" s="1" t="s">
        <v>16</v>
      </c>
      <c r="B15" s="1" t="s">
        <v>124</v>
      </c>
      <c r="C15" s="1" t="s">
        <v>73</v>
      </c>
      <c r="D15" s="1" t="s">
        <v>125</v>
      </c>
      <c r="E15" s="2" t="n">
        <v>332</v>
      </c>
      <c r="F15" s="3" t="n">
        <v>10.9</v>
      </c>
      <c r="G15" s="4" t="n">
        <v>36.2</v>
      </c>
      <c r="I15" s="4" t="n">
        <v>36.2</v>
      </c>
      <c r="J15" s="3" t="n">
        <v>10.9</v>
      </c>
    </row>
    <row r="16" customFormat="false" ht="12.75" hidden="false" customHeight="false" outlineLevel="0" collapsed="false">
      <c r="A16" s="1" t="s">
        <v>16</v>
      </c>
      <c r="B16" s="1" t="s">
        <v>124</v>
      </c>
      <c r="C16" s="1" t="s">
        <v>73</v>
      </c>
      <c r="D16" s="1" t="s">
        <v>121</v>
      </c>
      <c r="E16" s="2" t="n">
        <v>25</v>
      </c>
      <c r="F16" s="3" t="n">
        <v>12.7</v>
      </c>
      <c r="G16" s="4" t="n">
        <v>3.2</v>
      </c>
      <c r="I16" s="4" t="n">
        <v>3.2</v>
      </c>
      <c r="J16" s="3" t="n">
        <v>12.7</v>
      </c>
    </row>
    <row r="17" customFormat="false" ht="12.75" hidden="false" customHeight="false" outlineLevel="0" collapsed="false">
      <c r="A17" s="1" t="s">
        <v>16</v>
      </c>
      <c r="B17" s="1" t="s">
        <v>124</v>
      </c>
      <c r="C17" s="1" t="s">
        <v>73</v>
      </c>
      <c r="D17" s="1" t="s">
        <v>122</v>
      </c>
      <c r="E17" s="2" t="n">
        <v>44</v>
      </c>
      <c r="F17" s="3" t="n">
        <v>12.7</v>
      </c>
      <c r="G17" s="4" t="n">
        <v>5.6</v>
      </c>
      <c r="I17" s="4" t="n">
        <v>5.6</v>
      </c>
      <c r="J17" s="3" t="n">
        <v>12.7</v>
      </c>
    </row>
    <row r="18" customFormat="false" ht="12.75" hidden="false" customHeight="false" outlineLevel="0" collapsed="false">
      <c r="A18" s="1" t="s">
        <v>16</v>
      </c>
      <c r="B18" s="1" t="s">
        <v>124</v>
      </c>
      <c r="C18" s="1" t="s">
        <v>73</v>
      </c>
      <c r="D18" s="1" t="s">
        <v>123</v>
      </c>
      <c r="E18" s="2" t="n">
        <v>56</v>
      </c>
      <c r="F18" s="3" t="n">
        <v>12.7</v>
      </c>
      <c r="G18" s="4" t="n">
        <v>7.1</v>
      </c>
      <c r="H18" s="4" t="n">
        <v>1.9</v>
      </c>
      <c r="I18" s="4" t="n">
        <v>8.9</v>
      </c>
      <c r="J18" s="3" t="n">
        <v>16</v>
      </c>
    </row>
    <row r="19" customFormat="false" ht="12.75" hidden="false" customHeight="false" outlineLevel="0" collapsed="false">
      <c r="A19" s="1" t="s">
        <v>16</v>
      </c>
    </row>
    <row r="20" customFormat="false" ht="12.75" hidden="false" customHeight="false" outlineLevel="0" collapsed="false">
      <c r="A20" s="1" t="s">
        <v>16</v>
      </c>
      <c r="B20" s="1" t="s">
        <v>124</v>
      </c>
      <c r="D20" s="1" t="s">
        <v>126</v>
      </c>
      <c r="E20" s="2" t="n">
        <f aca="false">SUM(E15:E19)</f>
        <v>457</v>
      </c>
      <c r="F20" s="3" t="n">
        <f aca="false">+G20/E20*100</f>
        <v>11.4004376367615</v>
      </c>
      <c r="G20" s="4" t="n">
        <f aca="false">SUM(G15:G19)</f>
        <v>52.1</v>
      </c>
      <c r="H20" s="4" t="n">
        <f aca="false">SUM(H15:H18)</f>
        <v>1.9</v>
      </c>
      <c r="I20" s="4" t="n">
        <f aca="false">SUM(I15:I18)</f>
        <v>53.9</v>
      </c>
      <c r="J20" s="3" t="n">
        <f aca="false">+I20/E20*100</f>
        <v>11.7943107221007</v>
      </c>
      <c r="K20" s="12" t="n">
        <f aca="false">(J20-F20)/F20</f>
        <v>0.034548944337812</v>
      </c>
    </row>
    <row r="23" customFormat="false" ht="12.75" hidden="false" customHeight="false" outlineLevel="0" collapsed="false">
      <c r="D23" s="1" t="s">
        <v>127</v>
      </c>
    </row>
    <row r="24" customFormat="false" ht="12.75" hidden="false" customHeight="false" outlineLevel="0" collapsed="false">
      <c r="D24" s="1" t="s">
        <v>128</v>
      </c>
    </row>
    <row r="25" customFormat="false" ht="12.75" hidden="false" customHeight="false" outlineLevel="0" collapsed="false">
      <c r="A25" s="1" t="s">
        <v>129</v>
      </c>
      <c r="C25" s="1" t="s">
        <v>130</v>
      </c>
      <c r="D25" s="1" t="s">
        <v>78</v>
      </c>
      <c r="G25" s="4" t="n">
        <v>10.4</v>
      </c>
      <c r="I25" s="4" t="n">
        <v>10.4</v>
      </c>
    </row>
    <row r="26" customFormat="false" ht="12.75" hidden="false" customHeight="false" outlineLevel="0" collapsed="false">
      <c r="A26" s="1" t="s">
        <v>129</v>
      </c>
      <c r="D26" s="1" t="s">
        <v>131</v>
      </c>
    </row>
    <row r="27" customFormat="false" ht="12.75" hidden="false" customHeight="false" outlineLevel="0" collapsed="false">
      <c r="A27" s="1" t="s">
        <v>129</v>
      </c>
      <c r="B27" s="1" t="s">
        <v>132</v>
      </c>
      <c r="D27" s="1" t="s">
        <v>133</v>
      </c>
      <c r="E27" s="2" t="n">
        <v>1135</v>
      </c>
      <c r="F27" s="3" t="n">
        <v>13.6</v>
      </c>
      <c r="G27" s="4" t="n">
        <v>154.5</v>
      </c>
      <c r="H27" s="4" t="n">
        <v>18.6</v>
      </c>
      <c r="I27" s="4" t="n">
        <v>173.1</v>
      </c>
      <c r="J27" s="3" t="n">
        <v>15.3</v>
      </c>
    </row>
    <row r="28" customFormat="false" ht="12.75" hidden="false" customHeight="false" outlineLevel="0" collapsed="false">
      <c r="A28" s="1" t="s">
        <v>129</v>
      </c>
      <c r="B28" s="1" t="s">
        <v>132</v>
      </c>
      <c r="D28" s="1" t="s">
        <v>134</v>
      </c>
      <c r="E28" s="2" t="n">
        <v>929</v>
      </c>
      <c r="F28" s="3" t="n">
        <v>13.6</v>
      </c>
      <c r="G28" s="4" t="n">
        <v>126.4</v>
      </c>
      <c r="H28" s="4" t="n">
        <v>43.4</v>
      </c>
      <c r="I28" s="4" t="n">
        <v>169.8</v>
      </c>
      <c r="J28" s="3" t="n">
        <v>18.3</v>
      </c>
    </row>
    <row r="29" customFormat="false" ht="12.75" hidden="false" customHeight="false" outlineLevel="0" collapsed="false">
      <c r="A29" s="1" t="s">
        <v>129</v>
      </c>
      <c r="B29" s="1" t="s">
        <v>132</v>
      </c>
      <c r="D29" s="1" t="s">
        <v>135</v>
      </c>
    </row>
    <row r="30" customFormat="false" ht="12.75" hidden="false" customHeight="false" outlineLevel="0" collapsed="false">
      <c r="A30" s="1" t="s">
        <v>129</v>
      </c>
      <c r="B30" s="1" t="s">
        <v>132</v>
      </c>
      <c r="D30" s="1" t="s">
        <v>133</v>
      </c>
      <c r="E30" s="2" t="n">
        <v>3</v>
      </c>
      <c r="F30" s="3" t="n">
        <v>13.2</v>
      </c>
      <c r="G30" s="4" t="n">
        <v>0.3</v>
      </c>
      <c r="H30" s="4" t="n">
        <v>0</v>
      </c>
      <c r="I30" s="4" t="n">
        <v>0.4</v>
      </c>
      <c r="J30" s="3" t="n">
        <v>14.9</v>
      </c>
    </row>
    <row r="31" customFormat="false" ht="12.75" hidden="false" customHeight="false" outlineLevel="0" collapsed="false">
      <c r="A31" s="1" t="s">
        <v>129</v>
      </c>
      <c r="B31" s="1" t="s">
        <v>132</v>
      </c>
      <c r="D31" s="1" t="s">
        <v>134</v>
      </c>
      <c r="E31" s="2" t="n">
        <v>2</v>
      </c>
      <c r="F31" s="3" t="n">
        <v>13.2</v>
      </c>
      <c r="G31" s="4" t="n">
        <v>0.3</v>
      </c>
      <c r="H31" s="4" t="n">
        <v>0.1</v>
      </c>
      <c r="I31" s="4" t="n">
        <v>0.4</v>
      </c>
      <c r="J31" s="3" t="n">
        <v>17.9</v>
      </c>
    </row>
    <row r="33" customFormat="false" ht="12.75" hidden="false" customHeight="false" outlineLevel="0" collapsed="false">
      <c r="D33" s="1" t="s">
        <v>136</v>
      </c>
      <c r="E33" s="2" t="n">
        <f aca="false">SUM(E24:E31)</f>
        <v>2069</v>
      </c>
      <c r="F33" s="3" t="n">
        <f aca="false">100*G33/E33</f>
        <v>14.1082648622523</v>
      </c>
      <c r="G33" s="4" t="n">
        <f aca="false">SUM(G24:G31)</f>
        <v>291.9</v>
      </c>
      <c r="H33" s="4" t="n">
        <f aca="false">SUM(H24:H31)</f>
        <v>62.1</v>
      </c>
      <c r="I33" s="4" t="n">
        <f aca="false">SUM(I24:I31)</f>
        <v>354.1</v>
      </c>
      <c r="J33" s="3" t="n">
        <f aca="false">I33/E33*100</f>
        <v>17.1145480908652</v>
      </c>
      <c r="K33" s="12" t="n">
        <f aca="false">(J33-F33)/F33</f>
        <v>0.213086673518328</v>
      </c>
    </row>
    <row r="37" customFormat="false" ht="12.75" hidden="false" customHeight="false" outlineLevel="0" collapsed="false">
      <c r="D37" s="1" t="s">
        <v>137</v>
      </c>
    </row>
    <row r="38" customFormat="false" ht="12.75" hidden="false" customHeight="false" outlineLevel="0" collapsed="false">
      <c r="A38" s="1" t="s">
        <v>33</v>
      </c>
      <c r="C38" s="1" t="s">
        <v>138</v>
      </c>
      <c r="D38" s="1" t="s">
        <v>78</v>
      </c>
      <c r="G38" s="4" t="n">
        <v>278.5</v>
      </c>
      <c r="I38" s="4" t="n">
        <v>278.5</v>
      </c>
    </row>
    <row r="39" customFormat="false" ht="12.75" hidden="false" customHeight="false" outlineLevel="0" collapsed="false">
      <c r="A39" s="1" t="s">
        <v>33</v>
      </c>
      <c r="C39" s="1" t="s">
        <v>138</v>
      </c>
      <c r="D39" s="1" t="s">
        <v>139</v>
      </c>
    </row>
    <row r="40" customFormat="false" ht="12.75" hidden="false" customHeight="false" outlineLevel="0" collapsed="false">
      <c r="A40" s="1" t="s">
        <v>33</v>
      </c>
      <c r="C40" s="1" t="s">
        <v>138</v>
      </c>
      <c r="D40" s="1" t="s">
        <v>140</v>
      </c>
      <c r="E40" s="2" t="n">
        <v>757</v>
      </c>
      <c r="F40" s="3" t="n">
        <v>8.3</v>
      </c>
      <c r="G40" s="4" t="n">
        <v>62.8</v>
      </c>
      <c r="H40" s="4" t="n">
        <v>41.2</v>
      </c>
      <c r="I40" s="4" t="n">
        <v>104</v>
      </c>
      <c r="J40" s="3" t="n">
        <v>13.7</v>
      </c>
    </row>
    <row r="41" customFormat="false" ht="12.75" hidden="false" customHeight="false" outlineLevel="0" collapsed="false">
      <c r="A41" s="1" t="s">
        <v>33</v>
      </c>
      <c r="C41" s="1" t="s">
        <v>138</v>
      </c>
      <c r="D41" s="1" t="s">
        <v>135</v>
      </c>
      <c r="E41" s="2" t="n">
        <v>165</v>
      </c>
      <c r="F41" s="3" t="n">
        <v>8.3</v>
      </c>
      <c r="G41" s="4" t="n">
        <v>13.6</v>
      </c>
      <c r="H41" s="4" t="n">
        <v>8.6</v>
      </c>
      <c r="I41" s="4" t="n">
        <v>22.2</v>
      </c>
      <c r="J41" s="3" t="n">
        <v>13.5</v>
      </c>
    </row>
    <row r="42" customFormat="false" ht="12.75" hidden="false" customHeight="false" outlineLevel="0" collapsed="false">
      <c r="A42" s="1" t="s">
        <v>33</v>
      </c>
      <c r="C42" s="1" t="s">
        <v>138</v>
      </c>
      <c r="D42" s="1" t="s">
        <v>141</v>
      </c>
    </row>
    <row r="43" customFormat="false" ht="12.75" hidden="false" customHeight="false" outlineLevel="0" collapsed="false">
      <c r="A43" s="1" t="s">
        <v>33</v>
      </c>
      <c r="C43" s="1" t="s">
        <v>138</v>
      </c>
      <c r="D43" s="1" t="s">
        <v>140</v>
      </c>
      <c r="E43" s="2" t="n">
        <v>823</v>
      </c>
      <c r="F43" s="3" t="n">
        <v>8.8</v>
      </c>
      <c r="G43" s="4" t="n">
        <v>72.7</v>
      </c>
      <c r="H43" s="4" t="n">
        <v>31.3</v>
      </c>
      <c r="I43" s="4" t="n">
        <v>104</v>
      </c>
      <c r="J43" s="3" t="n">
        <v>12.6</v>
      </c>
    </row>
    <row r="44" customFormat="false" ht="12.75" hidden="false" customHeight="false" outlineLevel="0" collapsed="false">
      <c r="A44" s="1" t="s">
        <v>33</v>
      </c>
      <c r="C44" s="1" t="s">
        <v>138</v>
      </c>
      <c r="D44" s="1" t="s">
        <v>135</v>
      </c>
      <c r="E44" s="2" t="n">
        <v>212</v>
      </c>
      <c r="F44" s="3" t="n">
        <v>8</v>
      </c>
      <c r="G44" s="4" t="n">
        <v>16.9</v>
      </c>
      <c r="H44" s="4" t="n">
        <v>8.8</v>
      </c>
      <c r="I44" s="4" t="n">
        <v>25.7</v>
      </c>
      <c r="J44" s="3" t="n">
        <v>12.1</v>
      </c>
    </row>
    <row r="45" customFormat="false" ht="12.75" hidden="false" customHeight="false" outlineLevel="0" collapsed="false">
      <c r="A45" s="1" t="s">
        <v>33</v>
      </c>
      <c r="C45" s="1" t="s">
        <v>138</v>
      </c>
      <c r="D45" s="1" t="s">
        <v>142</v>
      </c>
    </row>
    <row r="46" customFormat="false" ht="12.75" hidden="false" customHeight="false" outlineLevel="0" collapsed="false">
      <c r="A46" s="1" t="s">
        <v>33</v>
      </c>
      <c r="C46" s="1" t="s">
        <v>138</v>
      </c>
      <c r="D46" s="1" t="s">
        <v>140</v>
      </c>
      <c r="E46" s="2" t="n">
        <v>1241</v>
      </c>
      <c r="F46" s="3" t="n">
        <v>8.6</v>
      </c>
      <c r="G46" s="4" t="n">
        <v>106.3</v>
      </c>
      <c r="H46" s="4" t="n">
        <v>35.3</v>
      </c>
      <c r="I46" s="4" t="n">
        <v>141.6</v>
      </c>
      <c r="J46" s="3" t="n">
        <v>11.4</v>
      </c>
    </row>
    <row r="47" customFormat="false" ht="12.75" hidden="false" customHeight="false" outlineLevel="0" collapsed="false">
      <c r="A47" s="1" t="s">
        <v>33</v>
      </c>
      <c r="C47" s="1" t="s">
        <v>138</v>
      </c>
      <c r="D47" s="1" t="s">
        <v>135</v>
      </c>
      <c r="E47" s="2" t="n">
        <v>325</v>
      </c>
      <c r="F47" s="3" t="n">
        <v>7.7</v>
      </c>
      <c r="G47" s="4" t="n">
        <v>25</v>
      </c>
      <c r="H47" s="4" t="n">
        <v>9.9</v>
      </c>
      <c r="I47" s="4" t="n">
        <v>34.9</v>
      </c>
      <c r="J47" s="3" t="n">
        <v>10.7</v>
      </c>
    </row>
    <row r="49" customFormat="false" ht="12.75" hidden="false" customHeight="false" outlineLevel="0" collapsed="false">
      <c r="A49" s="1" t="s">
        <v>33</v>
      </c>
      <c r="C49" s="1" t="s">
        <v>138</v>
      </c>
      <c r="D49" s="1" t="s">
        <v>139</v>
      </c>
    </row>
    <row r="50" customFormat="false" ht="12.75" hidden="false" customHeight="false" outlineLevel="0" collapsed="false">
      <c r="A50" s="1" t="s">
        <v>33</v>
      </c>
      <c r="C50" s="1" t="s">
        <v>138</v>
      </c>
      <c r="D50" s="1" t="s">
        <v>140</v>
      </c>
      <c r="E50" s="2" t="n">
        <v>361</v>
      </c>
      <c r="F50" s="3" t="n">
        <v>9.3</v>
      </c>
      <c r="G50" s="4" t="n">
        <v>33.5</v>
      </c>
      <c r="H50" s="4" t="n">
        <v>11.4</v>
      </c>
      <c r="I50" s="4" t="n">
        <v>44.8</v>
      </c>
      <c r="J50" s="3" t="n">
        <v>12.4</v>
      </c>
    </row>
    <row r="51" customFormat="false" ht="12.75" hidden="false" customHeight="false" outlineLevel="0" collapsed="false">
      <c r="A51" s="1" t="s">
        <v>33</v>
      </c>
      <c r="C51" s="1" t="s">
        <v>138</v>
      </c>
      <c r="D51" s="1" t="s">
        <v>135</v>
      </c>
      <c r="E51" s="2" t="n">
        <v>81</v>
      </c>
      <c r="F51" s="3" t="n">
        <v>8.2</v>
      </c>
      <c r="G51" s="4" t="n">
        <v>6.6</v>
      </c>
      <c r="H51" s="4" t="n">
        <v>2.7</v>
      </c>
      <c r="I51" s="4" t="n">
        <v>9.4</v>
      </c>
      <c r="J51" s="3" t="n">
        <v>11.6</v>
      </c>
    </row>
    <row r="52" customFormat="false" ht="12.75" hidden="false" customHeight="false" outlineLevel="0" collapsed="false">
      <c r="A52" s="1" t="s">
        <v>33</v>
      </c>
      <c r="C52" s="1" t="s">
        <v>138</v>
      </c>
      <c r="D52" s="1" t="s">
        <v>141</v>
      </c>
    </row>
    <row r="53" customFormat="false" ht="12.75" hidden="false" customHeight="false" outlineLevel="0" collapsed="false">
      <c r="A53" s="1" t="s">
        <v>33</v>
      </c>
      <c r="C53" s="1" t="s">
        <v>138</v>
      </c>
      <c r="D53" s="1" t="s">
        <v>140</v>
      </c>
      <c r="E53" s="2" t="n">
        <v>1613</v>
      </c>
      <c r="F53" s="3" t="n">
        <v>8.8</v>
      </c>
      <c r="G53" s="4" t="n">
        <v>141.4</v>
      </c>
      <c r="H53" s="4" t="n">
        <v>50.7</v>
      </c>
      <c r="I53" s="4" t="n">
        <v>192.1</v>
      </c>
      <c r="J53" s="3" t="n">
        <v>11.9</v>
      </c>
    </row>
    <row r="54" customFormat="false" ht="12.75" hidden="false" customHeight="false" outlineLevel="0" collapsed="false">
      <c r="A54" s="1" t="s">
        <v>33</v>
      </c>
      <c r="C54" s="1" t="s">
        <v>138</v>
      </c>
      <c r="D54" s="1" t="s">
        <v>135</v>
      </c>
      <c r="E54" s="2" t="n">
        <v>389</v>
      </c>
      <c r="F54" s="3" t="n">
        <v>7.9</v>
      </c>
      <c r="G54" s="4" t="n">
        <v>30.7</v>
      </c>
      <c r="H54" s="4" t="n">
        <v>11.8</v>
      </c>
      <c r="I54" s="4" t="n">
        <v>42.6</v>
      </c>
      <c r="J54" s="3" t="n">
        <v>10.9</v>
      </c>
    </row>
    <row r="55" customFormat="false" ht="12.75" hidden="false" customHeight="false" outlineLevel="0" collapsed="false">
      <c r="A55" s="1" t="s">
        <v>33</v>
      </c>
      <c r="C55" s="1" t="s">
        <v>138</v>
      </c>
      <c r="D55" s="1" t="s">
        <v>142</v>
      </c>
    </row>
    <row r="56" customFormat="false" ht="12.75" hidden="false" customHeight="false" outlineLevel="0" collapsed="false">
      <c r="A56" s="1" t="s">
        <v>33</v>
      </c>
      <c r="C56" s="1" t="s">
        <v>138</v>
      </c>
      <c r="D56" s="1" t="s">
        <v>140</v>
      </c>
      <c r="E56" s="2" t="n">
        <v>1616</v>
      </c>
      <c r="F56" s="3" t="n">
        <v>8.6</v>
      </c>
      <c r="G56" s="4" t="n">
        <v>138.5</v>
      </c>
      <c r="H56" s="4" t="n">
        <v>46.3</v>
      </c>
      <c r="I56" s="4" t="n">
        <v>184.8</v>
      </c>
      <c r="J56" s="3" t="n">
        <v>11.4</v>
      </c>
    </row>
    <row r="57" customFormat="false" ht="12.75" hidden="false" customHeight="false" outlineLevel="0" collapsed="false">
      <c r="A57" s="1" t="s">
        <v>33</v>
      </c>
      <c r="C57" s="1" t="s">
        <v>138</v>
      </c>
      <c r="D57" s="1" t="s">
        <v>135</v>
      </c>
      <c r="E57" s="2" t="n">
        <v>423</v>
      </c>
      <c r="F57" s="3" t="n">
        <v>7.7</v>
      </c>
      <c r="G57" s="4" t="n">
        <v>32.5</v>
      </c>
      <c r="H57" s="4" t="n">
        <v>13</v>
      </c>
      <c r="I57" s="4" t="n">
        <v>45.5</v>
      </c>
      <c r="J57" s="3" t="n">
        <v>10.8</v>
      </c>
    </row>
    <row r="59" customFormat="false" ht="12.75" hidden="false" customHeight="false" outlineLevel="0" collapsed="false">
      <c r="D59" s="1" t="s">
        <v>143</v>
      </c>
      <c r="E59" s="2" t="n">
        <f aca="false">SUM(E38:E57)</f>
        <v>8006</v>
      </c>
      <c r="F59" s="3" t="n">
        <f aca="false">100*G59/E59</f>
        <v>11.9785161129153</v>
      </c>
      <c r="G59" s="4" t="n">
        <f aca="false">SUM(G38:G57)</f>
        <v>959</v>
      </c>
      <c r="H59" s="4" t="n">
        <f aca="false">SUM(H38:H57)</f>
        <v>271</v>
      </c>
      <c r="I59" s="4" t="n">
        <f aca="false">SUM(I38:I57)</f>
        <v>1230.1</v>
      </c>
      <c r="J59" s="3" t="n">
        <f aca="false">I59/E59*100</f>
        <v>15.3647264551586</v>
      </c>
      <c r="K59" s="12" t="n">
        <f aca="false">(J59-F59)/F59</f>
        <v>0.282690302398332</v>
      </c>
    </row>
    <row r="62" customFormat="false" ht="12.75" hidden="false" customHeight="false" outlineLevel="0" collapsed="false">
      <c r="D62" s="1" t="s">
        <v>144</v>
      </c>
    </row>
    <row r="63" customFormat="false" ht="12.75" hidden="false" customHeight="false" outlineLevel="0" collapsed="false">
      <c r="A63" s="1" t="s">
        <v>33</v>
      </c>
      <c r="B63" s="1" t="s">
        <v>145</v>
      </c>
      <c r="C63" s="1" t="s">
        <v>146</v>
      </c>
      <c r="D63" s="1" t="s">
        <v>78</v>
      </c>
      <c r="G63" s="4" t="n">
        <v>6.5</v>
      </c>
      <c r="I63" s="4" t="n">
        <v>6.5</v>
      </c>
    </row>
    <row r="64" customFormat="false" ht="12.75" hidden="false" customHeight="false" outlineLevel="0" collapsed="false">
      <c r="A64" s="1" t="s">
        <v>33</v>
      </c>
      <c r="B64" s="1" t="s">
        <v>145</v>
      </c>
      <c r="C64" s="1" t="s">
        <v>146</v>
      </c>
      <c r="D64" s="1" t="s">
        <v>139</v>
      </c>
      <c r="E64" s="2" t="n">
        <v>63</v>
      </c>
      <c r="F64" s="3" t="n">
        <v>7.5</v>
      </c>
      <c r="G64" s="4" t="n">
        <v>4.7</v>
      </c>
      <c r="H64" s="4" t="n">
        <v>12.5</v>
      </c>
      <c r="I64" s="4" t="n">
        <v>17.2</v>
      </c>
      <c r="J64" s="3" t="n">
        <v>27.3</v>
      </c>
    </row>
    <row r="65" customFormat="false" ht="12.75" hidden="false" customHeight="false" outlineLevel="0" collapsed="false">
      <c r="A65" s="1" t="s">
        <v>33</v>
      </c>
      <c r="B65" s="1" t="s">
        <v>145</v>
      </c>
      <c r="C65" s="1" t="s">
        <v>146</v>
      </c>
      <c r="D65" s="1" t="s">
        <v>147</v>
      </c>
      <c r="E65" s="2" t="n">
        <v>594</v>
      </c>
      <c r="F65" s="3" t="n">
        <v>7.2</v>
      </c>
      <c r="G65" s="4" t="n">
        <v>42.5</v>
      </c>
      <c r="H65" s="4" t="n">
        <v>12.5</v>
      </c>
      <c r="I65" s="4" t="n">
        <v>55.1</v>
      </c>
      <c r="J65" s="3" t="n">
        <v>9.3</v>
      </c>
    </row>
    <row r="67" customFormat="false" ht="12.75" hidden="false" customHeight="false" outlineLevel="0" collapsed="false">
      <c r="D67" s="1" t="s">
        <v>148</v>
      </c>
      <c r="E67" s="2" t="n">
        <f aca="false">SUM(E62:E66)</f>
        <v>657</v>
      </c>
      <c r="F67" s="3" t="n">
        <f aca="false">+G67/E67*100</f>
        <v>8.17351598173516</v>
      </c>
      <c r="G67" s="4" t="n">
        <f aca="false">SUM(G62:G66)</f>
        <v>53.7</v>
      </c>
      <c r="H67" s="4" t="n">
        <f aca="false">SUM(H62:H65)</f>
        <v>25</v>
      </c>
      <c r="I67" s="4" t="n">
        <f aca="false">SUM(I62:I65)</f>
        <v>78.8</v>
      </c>
      <c r="J67" s="3" t="n">
        <f aca="false">+I67/E67*100</f>
        <v>11.9939117199391</v>
      </c>
      <c r="K67" s="12" t="n">
        <f aca="false">(J67-F67)/F67</f>
        <v>0.467411545623836</v>
      </c>
    </row>
    <row r="70" customFormat="false" ht="12.75" hidden="false" customHeight="false" outlineLevel="0" collapsed="false">
      <c r="D70" s="1" t="s">
        <v>149</v>
      </c>
    </row>
    <row r="71" customFormat="false" ht="12.75" hidden="false" customHeight="false" outlineLevel="0" collapsed="false">
      <c r="D71" s="1" t="s">
        <v>150</v>
      </c>
    </row>
    <row r="72" customFormat="false" ht="12.75" hidden="false" customHeight="false" outlineLevel="0" collapsed="false">
      <c r="A72" s="1" t="s">
        <v>61</v>
      </c>
      <c r="C72" s="1" t="s">
        <v>151</v>
      </c>
      <c r="D72" s="1" t="s">
        <v>152</v>
      </c>
      <c r="E72" s="2" t="n">
        <v>0</v>
      </c>
      <c r="F72" s="3" t="n">
        <v>13.8</v>
      </c>
      <c r="G72" s="4" t="n">
        <v>0</v>
      </c>
      <c r="H72" s="4" t="n">
        <v>0</v>
      </c>
      <c r="I72" s="4" t="n">
        <v>0</v>
      </c>
      <c r="J72" s="3" t="n">
        <v>18</v>
      </c>
    </row>
    <row r="73" customFormat="false" ht="12.75" hidden="false" customHeight="false" outlineLevel="0" collapsed="false">
      <c r="A73" s="1" t="s">
        <v>61</v>
      </c>
      <c r="C73" s="1" t="s">
        <v>151</v>
      </c>
      <c r="D73" s="1" t="s">
        <v>153</v>
      </c>
      <c r="E73" s="2" t="n">
        <v>1</v>
      </c>
      <c r="F73" s="3" t="n">
        <v>12.9</v>
      </c>
      <c r="G73" s="4" t="n">
        <v>0.1</v>
      </c>
      <c r="H73" s="4" t="n">
        <v>0</v>
      </c>
      <c r="I73" s="4" t="n">
        <v>0.1</v>
      </c>
      <c r="J73" s="3" t="n">
        <v>15</v>
      </c>
    </row>
    <row r="74" customFormat="false" ht="12.75" hidden="false" customHeight="false" outlineLevel="0" collapsed="false">
      <c r="A74" s="1" t="s">
        <v>61</v>
      </c>
      <c r="C74" s="1" t="s">
        <v>151</v>
      </c>
      <c r="D74" s="1" t="s">
        <v>154</v>
      </c>
    </row>
    <row r="75" customFormat="false" ht="12.75" hidden="false" customHeight="false" outlineLevel="0" collapsed="false">
      <c r="A75" s="1" t="s">
        <v>61</v>
      </c>
      <c r="C75" s="1" t="s">
        <v>151</v>
      </c>
      <c r="D75" s="1" t="s">
        <v>133</v>
      </c>
      <c r="E75" s="2" t="n">
        <v>70</v>
      </c>
      <c r="F75" s="3" t="n">
        <v>12.7</v>
      </c>
      <c r="G75" s="4" t="n">
        <v>8.9</v>
      </c>
      <c r="H75" s="4" t="n">
        <v>1.4</v>
      </c>
      <c r="I75" s="4" t="n">
        <v>10.3</v>
      </c>
      <c r="J75" s="3" t="n">
        <v>14.8</v>
      </c>
    </row>
    <row r="76" customFormat="false" ht="12.75" hidden="false" customHeight="false" outlineLevel="0" collapsed="false">
      <c r="A76" s="1" t="s">
        <v>61</v>
      </c>
      <c r="C76" s="1" t="s">
        <v>151</v>
      </c>
      <c r="D76" s="1" t="s">
        <v>134</v>
      </c>
      <c r="E76" s="2" t="n">
        <v>57</v>
      </c>
      <c r="F76" s="3" t="n">
        <v>12.7</v>
      </c>
      <c r="G76" s="4" t="n">
        <v>7.3</v>
      </c>
      <c r="H76" s="4" t="n">
        <v>2.4</v>
      </c>
      <c r="I76" s="4" t="n">
        <v>9.6</v>
      </c>
      <c r="J76" s="3" t="n">
        <v>16.9</v>
      </c>
    </row>
    <row r="78" customFormat="false" ht="12.75" hidden="false" customHeight="false" outlineLevel="0" collapsed="false">
      <c r="D78" s="1" t="s">
        <v>155</v>
      </c>
      <c r="E78" s="2" t="n">
        <f aca="false">SUM(E73:E77)</f>
        <v>128</v>
      </c>
      <c r="F78" s="3" t="n">
        <f aca="false">+G78/E78*100</f>
        <v>12.734375</v>
      </c>
      <c r="G78" s="4" t="n">
        <f aca="false">SUM(G73:G77)</f>
        <v>16.3</v>
      </c>
      <c r="H78" s="4" t="n">
        <f aca="false">SUM(H73:H76)</f>
        <v>3.8</v>
      </c>
      <c r="I78" s="4" t="n">
        <f aca="false">SUM(I73:I76)</f>
        <v>20</v>
      </c>
      <c r="J78" s="3" t="n">
        <f aca="false">+I78/E78*100</f>
        <v>15.625</v>
      </c>
      <c r="K78" s="12" t="n">
        <f aca="false">(J78-F78)/F78</f>
        <v>0.226993865030675</v>
      </c>
    </row>
    <row r="79" customFormat="false" ht="12.75" hidden="false" customHeight="false" outlineLevel="0" collapsed="false">
      <c r="J79" s="3" t="n">
        <v>15.8</v>
      </c>
      <c r="K79" s="12" t="n">
        <v>0.24</v>
      </c>
    </row>
    <row r="81" customFormat="false" ht="12.75" hidden="false" customHeight="false" outlineLevel="0" collapsed="false">
      <c r="D81" s="1" t="s">
        <v>156</v>
      </c>
    </row>
    <row r="82" customFormat="false" ht="12.75" hidden="false" customHeight="false" outlineLevel="0" collapsed="false">
      <c r="A82" s="1" t="s">
        <v>156</v>
      </c>
      <c r="D82" s="1" t="s">
        <v>78</v>
      </c>
      <c r="G82" s="4" t="n">
        <v>9.9</v>
      </c>
      <c r="I82" s="4" t="n">
        <v>9.9</v>
      </c>
    </row>
    <row r="83" customFormat="false" ht="12.75" hidden="false" customHeight="false" outlineLevel="0" collapsed="false">
      <c r="A83" s="1" t="s">
        <v>156</v>
      </c>
      <c r="D83" s="1" t="s">
        <v>133</v>
      </c>
      <c r="E83" s="2" t="n">
        <v>47</v>
      </c>
      <c r="F83" s="3" t="n">
        <v>3.1</v>
      </c>
      <c r="G83" s="4" t="n">
        <v>1.5</v>
      </c>
      <c r="I83" s="4" t="n">
        <v>1.5</v>
      </c>
      <c r="J83" s="3" t="n">
        <v>3.1</v>
      </c>
    </row>
    <row r="84" customFormat="false" ht="12.75" hidden="false" customHeight="false" outlineLevel="0" collapsed="false">
      <c r="A84" s="1" t="s">
        <v>156</v>
      </c>
      <c r="D84" s="1" t="s">
        <v>134</v>
      </c>
      <c r="E84" s="2" t="n">
        <v>39</v>
      </c>
      <c r="F84" s="3" t="n">
        <v>3.1</v>
      </c>
      <c r="G84" s="4" t="n">
        <v>1.2</v>
      </c>
      <c r="H84" s="4" t="n">
        <v>2.6</v>
      </c>
      <c r="I84" s="4" t="n">
        <v>3.8</v>
      </c>
      <c r="J84" s="3" t="n">
        <v>9.7</v>
      </c>
    </row>
    <row r="86" customFormat="false" ht="12.75" hidden="false" customHeight="false" outlineLevel="0" collapsed="false">
      <c r="D86" s="1" t="s">
        <v>157</v>
      </c>
      <c r="E86" s="2" t="n">
        <f aca="false">SUM(E82:E84)</f>
        <v>86</v>
      </c>
      <c r="F86" s="3" t="n">
        <f aca="false">+G86/E86*100</f>
        <v>14.6511627906977</v>
      </c>
      <c r="G86" s="4" t="n">
        <f aca="false">SUM(G82:G84)</f>
        <v>12.6</v>
      </c>
      <c r="H86" s="4" t="n">
        <f aca="false">SUM(H82:H84)</f>
        <v>2.6</v>
      </c>
      <c r="I86" s="4" t="n">
        <f aca="false">SUM(I82:I84)</f>
        <v>15.2</v>
      </c>
      <c r="J86" s="3" t="n">
        <f aca="false">AVERAGE(J83:J84)</f>
        <v>6.4</v>
      </c>
      <c r="K86" s="12" t="n">
        <f aca="false">(J86-F86)/F86</f>
        <v>-0.563174603174603</v>
      </c>
    </row>
    <row r="87" customFormat="false" ht="12.75" hidden="false" customHeight="false" outlineLevel="0" collapsed="false">
      <c r="F87" s="3" t="n">
        <v>3.1</v>
      </c>
      <c r="K87" s="12" t="n">
        <v>0.21</v>
      </c>
    </row>
    <row r="89" customFormat="false" ht="12.75" hidden="false" customHeight="false" outlineLevel="0" collapsed="false">
      <c r="D89" s="1" t="s">
        <v>60</v>
      </c>
      <c r="E89" s="2" t="n">
        <f aca="false">E86+E78+E67+E59+E33+E20+E12</f>
        <v>17205</v>
      </c>
      <c r="F89" s="3" t="n">
        <f aca="false">G89/E89*100</f>
        <v>12.7311827956989</v>
      </c>
      <c r="G89" s="4" t="n">
        <f aca="false">G86+G78+G67+G59+G33+G20+G12</f>
        <v>2190.4</v>
      </c>
      <c r="H89" s="4" t="n">
        <f aca="false">H86+H78+H67+H59+H33+H20+H12</f>
        <v>523.3</v>
      </c>
      <c r="I89" s="4" t="n">
        <f aca="false">I86+I78+I67+I59+I33+I20+I12</f>
        <v>2713.8</v>
      </c>
      <c r="J89" s="3" t="n">
        <f aca="false">I89/E89*100</f>
        <v>15.7733217088056</v>
      </c>
      <c r="K89" s="12" t="n">
        <f aca="false">(J89-F89)/F89</f>
        <v>0.238951789627466</v>
      </c>
    </row>
    <row r="92" customFormat="false" ht="12.75" hidden="false" customHeight="false" outlineLevel="0" collapsed="false">
      <c r="E92" s="2" t="s">
        <v>0</v>
      </c>
      <c r="F92" s="3" t="s">
        <v>1</v>
      </c>
      <c r="G92" s="4" t="s">
        <v>1</v>
      </c>
      <c r="H92" s="4" t="s">
        <v>2</v>
      </c>
      <c r="I92" s="4" t="s">
        <v>3</v>
      </c>
      <c r="J92" s="3" t="s">
        <v>4</v>
      </c>
    </row>
    <row r="93" customFormat="false" ht="12.75" hidden="false" customHeight="false" outlineLevel="0" collapsed="false">
      <c r="D93" s="1" t="s">
        <v>8</v>
      </c>
      <c r="E93" s="2" t="s">
        <v>9</v>
      </c>
      <c r="F93" s="3" t="s">
        <v>10</v>
      </c>
      <c r="G93" s="4" t="s">
        <v>11</v>
      </c>
      <c r="H93" s="4" t="s">
        <v>12</v>
      </c>
      <c r="I93" s="4" t="s">
        <v>2</v>
      </c>
      <c r="J93" s="3" t="s">
        <v>13</v>
      </c>
      <c r="K93" s="12" t="s">
        <v>14</v>
      </c>
    </row>
    <row r="95" customFormat="false" ht="12.75" hidden="false" customHeight="false" outlineLevel="0" collapsed="false">
      <c r="D95" s="1" t="s">
        <v>16</v>
      </c>
      <c r="E95" s="2" t="n">
        <f aca="false">+E12+E20</f>
        <v>6259</v>
      </c>
      <c r="F95" s="3" t="n">
        <f aca="false">+G95/E95*100</f>
        <v>13.6906854130053</v>
      </c>
      <c r="G95" s="33" t="n">
        <f aca="false">+G12+G20</f>
        <v>856.9</v>
      </c>
      <c r="H95" s="33" t="n">
        <f aca="false">+H12+H20</f>
        <v>158.8</v>
      </c>
      <c r="I95" s="33" t="n">
        <f aca="false">+I12+I20</f>
        <v>1015.6</v>
      </c>
      <c r="J95" s="3" t="n">
        <f aca="false">I95/E95*100</f>
        <v>16.2262342227193</v>
      </c>
      <c r="K95" s="12" t="n">
        <f aca="false">(J95-F95)/F95</f>
        <v>0.18520247403431</v>
      </c>
    </row>
    <row r="96" customFormat="false" ht="12.75" hidden="false" customHeight="false" outlineLevel="0" collapsed="false">
      <c r="D96" s="1" t="s">
        <v>23</v>
      </c>
      <c r="E96" s="2" t="n">
        <f aca="false">+E33</f>
        <v>2069</v>
      </c>
      <c r="F96" s="3" t="n">
        <f aca="false">+G96/E96*100</f>
        <v>14.1082648622523</v>
      </c>
      <c r="G96" s="33" t="n">
        <f aca="false">+G33</f>
        <v>291.9</v>
      </c>
      <c r="H96" s="33" t="n">
        <f aca="false">+H33</f>
        <v>62.1</v>
      </c>
      <c r="I96" s="33" t="n">
        <f aca="false">+I33</f>
        <v>354.1</v>
      </c>
      <c r="J96" s="3" t="n">
        <f aca="false">I96/E96*100</f>
        <v>17.1145480908652</v>
      </c>
      <c r="K96" s="12" t="n">
        <f aca="false">(J96-F96)/F96</f>
        <v>0.213086673518328</v>
      </c>
    </row>
    <row r="97" customFormat="false" ht="12.75" hidden="false" customHeight="false" outlineLevel="0" collapsed="false">
      <c r="D97" s="1" t="s">
        <v>61</v>
      </c>
      <c r="E97" s="2" t="n">
        <f aca="false">+E78</f>
        <v>128</v>
      </c>
      <c r="F97" s="3" t="n">
        <f aca="false">+G97/E97*100</f>
        <v>12.734375</v>
      </c>
      <c r="G97" s="33" t="n">
        <f aca="false">+G78</f>
        <v>16.3</v>
      </c>
      <c r="H97" s="33" t="n">
        <f aca="false">+H78</f>
        <v>3.8</v>
      </c>
      <c r="I97" s="33" t="n">
        <f aca="false">+I78</f>
        <v>20</v>
      </c>
      <c r="J97" s="3" t="n">
        <f aca="false">I97/E97*100</f>
        <v>15.625</v>
      </c>
      <c r="K97" s="12" t="n">
        <f aca="false">(J97-F97)/F97</f>
        <v>0.226993865030675</v>
      </c>
    </row>
    <row r="98" customFormat="false" ht="12.75" hidden="false" customHeight="false" outlineLevel="0" collapsed="false">
      <c r="D98" s="1" t="s">
        <v>37</v>
      </c>
      <c r="E98" s="2" t="n">
        <f aca="false">+E86</f>
        <v>86</v>
      </c>
      <c r="F98" s="3" t="n">
        <f aca="false">+G98/E98*100</f>
        <v>14.6511627906977</v>
      </c>
      <c r="G98" s="33" t="n">
        <f aca="false">+G86</f>
        <v>12.6</v>
      </c>
      <c r="H98" s="33" t="n">
        <f aca="false">+H86</f>
        <v>2.6</v>
      </c>
      <c r="I98" s="33" t="n">
        <f aca="false">+I86</f>
        <v>15.2</v>
      </c>
      <c r="J98" s="3" t="n">
        <f aca="false">I98/E98*100</f>
        <v>17.6744186046512</v>
      </c>
      <c r="K98" s="12" t="n">
        <f aca="false">(J98-F98)/F98</f>
        <v>0.206349206349206</v>
      </c>
    </row>
    <row r="99" customFormat="false" ht="12.75" hidden="false" customHeight="false" outlineLevel="0" collapsed="false">
      <c r="D99" s="1" t="s">
        <v>33</v>
      </c>
      <c r="E99" s="2" t="n">
        <f aca="false">+E59+E67</f>
        <v>8663</v>
      </c>
      <c r="F99" s="3" t="n">
        <f aca="false">+G99/E99*100</f>
        <v>11.6899457462773</v>
      </c>
      <c r="G99" s="33" t="n">
        <f aca="false">+G59+G67</f>
        <v>1012.7</v>
      </c>
      <c r="H99" s="33" t="n">
        <f aca="false">+H59+H67</f>
        <v>296</v>
      </c>
      <c r="I99" s="33" t="n">
        <f aca="false">+I59+I67</f>
        <v>1308.9</v>
      </c>
      <c r="J99" s="3" t="n">
        <f aca="false">I99/E99*100</f>
        <v>15.1090846127208</v>
      </c>
      <c r="K99" s="12" t="n">
        <f aca="false">(J99-F99)/F99</f>
        <v>0.292485434975807</v>
      </c>
    </row>
    <row r="100" customFormat="false" ht="12.75" hidden="false" customHeight="false" outlineLevel="0" collapsed="false">
      <c r="G100" s="33"/>
      <c r="H100" s="33"/>
      <c r="I100" s="33"/>
      <c r="K100" s="5"/>
    </row>
    <row r="101" customFormat="false" ht="12.75" hidden="false" customHeight="false" outlineLevel="0" collapsed="false">
      <c r="D101" s="1" t="s">
        <v>62</v>
      </c>
      <c r="E101" s="2" t="n">
        <f aca="false">SUM(E95:E100)</f>
        <v>17205</v>
      </c>
      <c r="F101" s="3" t="n">
        <f aca="false">+G101/E101*100</f>
        <v>12.7311827956989</v>
      </c>
      <c r="G101" s="33" t="n">
        <f aca="false">SUM(G95:G100)</f>
        <v>2190.4</v>
      </c>
      <c r="H101" s="33" t="n">
        <f aca="false">SUM(H95:H100)</f>
        <v>523.3</v>
      </c>
      <c r="I101" s="33" t="n">
        <f aca="false">SUM(I95:I100)</f>
        <v>2713.8</v>
      </c>
      <c r="J101" s="3" t="n">
        <f aca="false">I101/E101*100</f>
        <v>15.7733217088056</v>
      </c>
      <c r="K101" s="12" t="n">
        <f aca="false">(J101-F101)/F101</f>
        <v>0.238951789627465</v>
      </c>
    </row>
    <row r="102" customFormat="false" ht="12.75" hidden="false" customHeight="false" outlineLevel="0" collapsed="false">
      <c r="K102" s="5"/>
    </row>
    <row r="104" customFormat="false" ht="12.75" hidden="false" customHeight="false" outlineLevel="0" collapsed="false">
      <c r="D104" s="1" t="s">
        <v>63</v>
      </c>
      <c r="E104" s="8" t="n">
        <f aca="false">+E12+E20+E33+E59+E86+E78</f>
        <v>16548</v>
      </c>
      <c r="F104" s="3" t="n">
        <f aca="false">+G104/E104*100</f>
        <v>12.912134396906</v>
      </c>
      <c r="G104" s="8" t="n">
        <f aca="false">+G12+G20+G33+G59+G86+G78</f>
        <v>2136.7</v>
      </c>
      <c r="H104" s="8" t="n">
        <f aca="false">+H12+H20+H33+H59+H86+H78</f>
        <v>498.3</v>
      </c>
      <c r="I104" s="8" t="n">
        <f aca="false">+I12+I20+I33+I59+I86+I78</f>
        <v>2635</v>
      </c>
      <c r="J104" s="9" t="n">
        <f aca="false">I104/E104*100</f>
        <v>15.9233744259125</v>
      </c>
      <c r="K104" s="12" t="n">
        <f aca="false">(J104-F104)/F104</f>
        <v>0.233210090326204</v>
      </c>
    </row>
    <row r="105" customFormat="false" ht="12.75" hidden="false" customHeight="false" outlineLevel="0" collapsed="false">
      <c r="D105" s="1" t="s">
        <v>64</v>
      </c>
      <c r="E105" s="8" t="n">
        <f aca="false">+E67</f>
        <v>657</v>
      </c>
      <c r="F105" s="3" t="n">
        <f aca="false">+G105/E105*100</f>
        <v>8.17351598173516</v>
      </c>
      <c r="G105" s="8" t="n">
        <f aca="false">+G67</f>
        <v>53.7</v>
      </c>
      <c r="H105" s="8" t="n">
        <f aca="false">+H67</f>
        <v>25</v>
      </c>
      <c r="I105" s="8" t="n">
        <f aca="false">+I67</f>
        <v>78.8</v>
      </c>
      <c r="J105" s="9" t="n">
        <f aca="false">I105/E105*100</f>
        <v>11.9939117199391</v>
      </c>
      <c r="K105" s="12" t="n">
        <f aca="false">(J105-F105)/F105</f>
        <v>0.467411545623836</v>
      </c>
    </row>
    <row r="106" customFormat="false" ht="12.75" hidden="false" customHeight="false" outlineLevel="0" collapsed="false">
      <c r="D106" s="0"/>
      <c r="E106" s="8"/>
      <c r="G106" s="8"/>
      <c r="H106" s="8"/>
      <c r="I106" s="8"/>
      <c r="K106" s="11"/>
    </row>
    <row r="107" customFormat="false" ht="12.75" hidden="false" customHeight="false" outlineLevel="0" collapsed="false">
      <c r="D107" s="1" t="s">
        <v>62</v>
      </c>
      <c r="E107" s="8" t="n">
        <f aca="false">+E104+E105</f>
        <v>17205</v>
      </c>
      <c r="F107" s="3" t="n">
        <f aca="false">+G107/E107*100</f>
        <v>12.7311827956989</v>
      </c>
      <c r="G107" s="8" t="n">
        <f aca="false">+G104+G105</f>
        <v>2190.4</v>
      </c>
      <c r="H107" s="8" t="n">
        <f aca="false">+H104+H105</f>
        <v>523.3</v>
      </c>
      <c r="I107" s="8" t="n">
        <f aca="false">+I104+I105</f>
        <v>2713.8</v>
      </c>
      <c r="J107" s="9" t="n">
        <f aca="false">I107/E107*100</f>
        <v>15.7733217088056</v>
      </c>
      <c r="K107" s="12" t="n">
        <f aca="false">(J107-F107)/F107</f>
        <v>0.238951789627465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H6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2" width="12.99"/>
    <col collapsed="false" customWidth="true" hidden="false" outlineLevel="0" max="3" min="3" style="19" width="12.42"/>
    <col collapsed="false" customWidth="true" hidden="false" outlineLevel="0" max="4" min="4" style="4" width="16.42"/>
    <col collapsed="false" customWidth="true" hidden="false" outlineLevel="0" max="5" min="5" style="4" width="15.99"/>
    <col collapsed="false" customWidth="true" hidden="false" outlineLevel="0" max="6" min="6" style="4" width="12.99"/>
    <col collapsed="false" customWidth="true" hidden="false" outlineLevel="0" max="7" min="7" style="19" width="12.28"/>
    <col collapsed="false" customWidth="true" hidden="false" outlineLevel="0" max="8" min="8" style="34" width="10.56"/>
  </cols>
  <sheetData>
    <row r="5" customFormat="false" ht="12.75" hidden="false" customHeight="false" outlineLevel="0" collapsed="false">
      <c r="D5" s="35" t="s">
        <v>158</v>
      </c>
    </row>
    <row r="7" customFormat="false" ht="12.75" hidden="false" customHeight="false" outlineLevel="0" collapsed="false">
      <c r="B7" s="2" t="str">
        <f aca="false">+PGE!E129</f>
        <v>Annual</v>
      </c>
      <c r="C7" s="19" t="str">
        <f aca="false">+PGE!F129</f>
        <v>Current</v>
      </c>
      <c r="D7" s="4" t="str">
        <f aca="false">+PGE!G129</f>
        <v>Current</v>
      </c>
      <c r="E7" s="4" t="str">
        <f aca="false">+PGE!H129</f>
        <v>Revenue</v>
      </c>
      <c r="F7" s="4" t="str">
        <f aca="false">+PGE!I129</f>
        <v>New Total </v>
      </c>
      <c r="G7" s="19" t="str">
        <f aca="false">+PGE!J129</f>
        <v>New Rates</v>
      </c>
    </row>
    <row r="8" customFormat="false" ht="12.75" hidden="false" customHeight="false" outlineLevel="0" collapsed="false">
      <c r="A8" s="0" t="str">
        <f aca="false">+PGE!D130</f>
        <v>Description</v>
      </c>
      <c r="B8" s="2" t="str">
        <f aca="false">+PGE!E130</f>
        <v>Sales (GWh)</v>
      </c>
      <c r="C8" s="19" t="str">
        <f aca="false">+PGE!F130</f>
        <v>Rate (cents)</v>
      </c>
      <c r="D8" s="4" t="str">
        <f aca="false">+PGE!G130</f>
        <v>Revenue (MM)</v>
      </c>
      <c r="E8" s="4" t="str">
        <f aca="false">+PGE!H130</f>
        <v>Increase (MM)</v>
      </c>
      <c r="F8" s="4" t="str">
        <f aca="false">+PGE!I130</f>
        <v>Revenue</v>
      </c>
      <c r="G8" s="19" t="str">
        <f aca="false">+PGE!J130</f>
        <v>(cents/kWh)</v>
      </c>
      <c r="H8" s="34" t="str">
        <f aca="false">+PGE!K130</f>
        <v>Increase %</v>
      </c>
    </row>
    <row r="10" customFormat="false" ht="12.75" hidden="false" customHeight="false" outlineLevel="0" collapsed="false">
      <c r="A10" s="0" t="str">
        <f aca="false">+PGE!D132</f>
        <v>Residential</v>
      </c>
      <c r="B10" s="2" t="n">
        <f aca="false">+PGE!E132</f>
        <v>28847.626315</v>
      </c>
      <c r="C10" s="19" t="n">
        <f aca="false">+PGE!F132</f>
        <v>11.6064029270202</v>
      </c>
      <c r="D10" s="4" t="n">
        <f aca="false">+PGE!G132</f>
        <v>3348.171745</v>
      </c>
      <c r="E10" s="4" t="n">
        <f aca="false">+PGE!H132</f>
        <v>697.537899</v>
      </c>
      <c r="F10" s="4" t="n">
        <f aca="false">+PGE!I132</f>
        <v>4045.709644</v>
      </c>
      <c r="G10" s="19" t="n">
        <f aca="false">+PGE!J132</f>
        <v>14.0244108815856</v>
      </c>
      <c r="H10" s="34" t="n">
        <f aca="false">+PGE!K132</f>
        <v>0.208333966153818</v>
      </c>
    </row>
    <row r="11" customFormat="false" ht="12.75" hidden="false" customHeight="false" outlineLevel="0" collapsed="false">
      <c r="A11" s="0" t="str">
        <f aca="false">+PGE!D133</f>
        <v>Commercial</v>
      </c>
      <c r="B11" s="2" t="n">
        <f aca="false">+PGE!E133</f>
        <v>31968.365512</v>
      </c>
      <c r="C11" s="19" t="n">
        <f aca="false">+PGE!F133</f>
        <v>10.8261730075029</v>
      </c>
      <c r="D11" s="4" t="n">
        <f aca="false">+PGE!G133</f>
        <v>3460.950558</v>
      </c>
      <c r="E11" s="4" t="n">
        <f aca="false">+PGE!H133</f>
        <v>1386.612666</v>
      </c>
      <c r="F11" s="4" t="n">
        <f aca="false">+PGE!I133</f>
        <v>4847.563224</v>
      </c>
      <c r="G11" s="19" t="n">
        <f aca="false">+PGE!J133</f>
        <v>15.1636254977764</v>
      </c>
      <c r="H11" s="34" t="n">
        <f aca="false">+PGE!K133</f>
        <v>0.40064503747239</v>
      </c>
    </row>
    <row r="12" customFormat="false" ht="12.75" hidden="false" customHeight="false" outlineLevel="0" collapsed="false">
      <c r="A12" s="0" t="str">
        <f aca="false">+PGE!D134</f>
        <v>Agricultural</v>
      </c>
      <c r="B12" s="2" t="n">
        <f aca="false">+PGE!E134</f>
        <v>3422.874203</v>
      </c>
      <c r="C12" s="19" t="n">
        <f aca="false">+PGE!F134</f>
        <v>11.9073879969874</v>
      </c>
      <c r="D12" s="4" t="n">
        <f aca="false">+PGE!G134</f>
        <v>407.574912</v>
      </c>
      <c r="E12" s="4" t="n">
        <f aca="false">+PGE!H134</f>
        <v>77.38417</v>
      </c>
      <c r="F12" s="4" t="n">
        <f aca="false">+PGE!I134</f>
        <v>484.959082</v>
      </c>
      <c r="G12" s="19" t="n">
        <f aca="false">+PGE!J134</f>
        <v>14.1681830309438</v>
      </c>
      <c r="H12" s="34" t="n">
        <f aca="false">+PGE!K134</f>
        <v>0.189864900222318</v>
      </c>
    </row>
    <row r="13" customFormat="false" ht="12.75" hidden="false" customHeight="false" outlineLevel="0" collapsed="false">
      <c r="A13" s="0" t="str">
        <f aca="false">+PGE!D135</f>
        <v>Other</v>
      </c>
      <c r="B13" s="2" t="n">
        <f aca="false">+PGE!E135</f>
        <v>517.658395</v>
      </c>
      <c r="C13" s="19" t="n">
        <f aca="false">+PGE!F135</f>
        <v>12.5434125336652</v>
      </c>
      <c r="D13" s="4" t="n">
        <f aca="false">+PGE!G135</f>
        <v>64.932028</v>
      </c>
      <c r="E13" s="4" t="n">
        <f aca="false">+PGE!H135</f>
        <v>22.505094</v>
      </c>
      <c r="F13" s="4" t="n">
        <f aca="false">+PGE!I135</f>
        <v>87.437122</v>
      </c>
      <c r="G13" s="19" t="n">
        <f aca="false">+PGE!J135</f>
        <v>16.8908923036011</v>
      </c>
      <c r="H13" s="34" t="n">
        <f aca="false">+PGE!K135</f>
        <v>0.346594657416214</v>
      </c>
    </row>
    <row r="14" customFormat="false" ht="12.75" hidden="false" customHeight="false" outlineLevel="0" collapsed="false">
      <c r="A14" s="0" t="str">
        <f aca="false">+PGE!D136</f>
        <v>Industrial</v>
      </c>
      <c r="B14" s="2" t="n">
        <f aca="false">+PGE!E136</f>
        <v>17234.446502</v>
      </c>
      <c r="C14" s="19" t="n">
        <f aca="false">+PGE!F136</f>
        <v>7.17086451750326</v>
      </c>
      <c r="D14" s="4" t="n">
        <f aca="false">+PGE!G136</f>
        <v>1235.858809</v>
      </c>
      <c r="E14" s="4" t="n">
        <f aca="false">+PGE!H136</f>
        <v>698.689293</v>
      </c>
      <c r="F14" s="4" t="n">
        <f aca="false">+PGE!I136</f>
        <v>1934.548102</v>
      </c>
      <c r="G14" s="19" t="n">
        <f aca="false">+PGE!J136</f>
        <v>11.2248925532683</v>
      </c>
      <c r="H14" s="34" t="n">
        <f aca="false">+PGE!K136</f>
        <v>0.565347180367106</v>
      </c>
    </row>
    <row r="16" customFormat="false" ht="12.75" hidden="false" customHeight="false" outlineLevel="0" collapsed="false">
      <c r="A16" s="0" t="str">
        <f aca="false">+PGE!D138</f>
        <v>Total</v>
      </c>
      <c r="B16" s="2" t="n">
        <f aca="false">+PGE!E138</f>
        <v>81990.970927</v>
      </c>
      <c r="C16" s="19" t="n">
        <f aca="false">+PGE!F138</f>
        <v>10.3883244163354</v>
      </c>
      <c r="D16" s="4" t="n">
        <f aca="false">+PGE!G138</f>
        <v>8517.488052</v>
      </c>
      <c r="E16" s="4" t="n">
        <f aca="false">+PGE!H138</f>
        <v>2882.729122</v>
      </c>
      <c r="F16" s="4" t="n">
        <f aca="false">+PGE!I138</f>
        <v>11400.217174</v>
      </c>
      <c r="G16" s="19" t="n">
        <f aca="false">+PGE!J138</f>
        <v>13.9042348750207</v>
      </c>
      <c r="H16" s="34" t="n">
        <f aca="false">+PGE!K138</f>
        <v>0.338448273058992</v>
      </c>
    </row>
    <row r="20" customFormat="false" ht="12.75" hidden="false" customHeight="false" outlineLevel="0" collapsed="false">
      <c r="D20" s="35" t="s">
        <v>159</v>
      </c>
    </row>
    <row r="22" customFormat="false" ht="12.75" hidden="false" customHeight="false" outlineLevel="0" collapsed="false">
      <c r="B22" s="2" t="str">
        <f aca="false">+SCE!E123</f>
        <v>Annual</v>
      </c>
      <c r="C22" s="19" t="str">
        <f aca="false">+SCE!F123</f>
        <v>Current</v>
      </c>
      <c r="D22" s="4" t="str">
        <f aca="false">+SCE!G123</f>
        <v>Current</v>
      </c>
      <c r="E22" s="4" t="str">
        <f aca="false">+SCE!H123</f>
        <v>Revenue</v>
      </c>
      <c r="F22" s="4" t="str">
        <f aca="false">+SCE!I123</f>
        <v>New Total </v>
      </c>
      <c r="G22" s="19" t="str">
        <f aca="false">+SCE!J123</f>
        <v>New Rates</v>
      </c>
    </row>
    <row r="23" customFormat="false" ht="12.75" hidden="false" customHeight="false" outlineLevel="0" collapsed="false">
      <c r="A23" s="0" t="str">
        <f aca="false">+SCE!D124</f>
        <v>Description</v>
      </c>
      <c r="B23" s="2" t="str">
        <f aca="false">+SCE!E124</f>
        <v>Sales (GWh)</v>
      </c>
      <c r="C23" s="19" t="str">
        <f aca="false">+SCE!F124</f>
        <v>Rate (cents)</v>
      </c>
      <c r="D23" s="4" t="str">
        <f aca="false">+SCE!G124</f>
        <v>Revenue (MM)</v>
      </c>
      <c r="E23" s="4" t="str">
        <f aca="false">+SCE!H124</f>
        <v>Increase (MM)</v>
      </c>
      <c r="F23" s="4" t="str">
        <f aca="false">+SCE!I124</f>
        <v>Revenue</v>
      </c>
      <c r="G23" s="19" t="str">
        <f aca="false">+SCE!J124</f>
        <v>(cents/kWh)</v>
      </c>
      <c r="H23" s="34" t="str">
        <f aca="false">+SCE!K124</f>
        <v>Increase %</v>
      </c>
    </row>
    <row r="25" customFormat="false" ht="12.75" hidden="false" customHeight="false" outlineLevel="0" collapsed="false">
      <c r="A25" s="0" t="str">
        <f aca="false">+SCE!D126</f>
        <v>Residential</v>
      </c>
      <c r="B25" s="2" t="n">
        <f aca="false">+SCE!E126</f>
        <v>24918.3</v>
      </c>
      <c r="C25" s="19" t="n">
        <f aca="false">+SCE!F126</f>
        <v>13.8251806904965</v>
      </c>
      <c r="D25" s="4" t="n">
        <f aca="false">+SCE!G126</f>
        <v>3445</v>
      </c>
      <c r="E25" s="4" t="n">
        <f aca="false">+SCE!H126</f>
        <v>590.5</v>
      </c>
      <c r="F25" s="4" t="n">
        <f aca="false">+SCE!I126</f>
        <v>4035.5</v>
      </c>
      <c r="G25" s="19" t="n">
        <f aca="false">+SCE!J126</f>
        <v>16.1949250149489</v>
      </c>
      <c r="H25" s="34" t="n">
        <f aca="false">+SCE!K126</f>
        <v>0.171407837445573</v>
      </c>
    </row>
    <row r="26" customFormat="false" ht="12.75" hidden="false" customHeight="false" outlineLevel="0" collapsed="false">
      <c r="A26" s="0" t="str">
        <f aca="false">+SCE!D127</f>
        <v>Commercial</v>
      </c>
      <c r="B26" s="2" t="n">
        <f aca="false">+SCE!E127</f>
        <v>30371.7</v>
      </c>
      <c r="C26" s="19" t="n">
        <f aca="false">+SCE!F127</f>
        <v>11.5357388621644</v>
      </c>
      <c r="D26" s="4" t="n">
        <f aca="false">+SCE!G127</f>
        <v>3503.6</v>
      </c>
      <c r="E26" s="4" t="n">
        <f aca="false">+SCE!H127</f>
        <v>1243.8</v>
      </c>
      <c r="F26" s="4" t="n">
        <f aca="false">+SCE!I127</f>
        <v>4747.4</v>
      </c>
      <c r="G26" s="19" t="n">
        <f aca="false">+SCE!J127</f>
        <v>15.6309985940859</v>
      </c>
      <c r="H26" s="34" t="n">
        <f aca="false">+SCE!K127</f>
        <v>0.355006279255623</v>
      </c>
    </row>
    <row r="27" customFormat="false" ht="12.75" hidden="false" customHeight="false" outlineLevel="0" collapsed="false">
      <c r="A27" s="0" t="str">
        <f aca="false">+SCE!D128</f>
        <v>Agricultural</v>
      </c>
      <c r="B27" s="2" t="n">
        <f aca="false">+SCE!E128</f>
        <v>3115.8</v>
      </c>
      <c r="C27" s="19" t="n">
        <f aca="false">+SCE!F128</f>
        <v>10.1065536940754</v>
      </c>
      <c r="D27" s="4" t="n">
        <f aca="false">+SCE!G128</f>
        <v>314.9</v>
      </c>
      <c r="E27" s="4" t="n">
        <f aca="false">+SCE!H128</f>
        <v>54.8</v>
      </c>
      <c r="F27" s="4" t="n">
        <f aca="false">+SCE!I128</f>
        <v>369.8</v>
      </c>
      <c r="G27" s="19" t="n">
        <f aca="false">+SCE!J128</f>
        <v>11.8685409846588</v>
      </c>
      <c r="H27" s="34" t="n">
        <f aca="false">+SCE!K128</f>
        <v>0.174341060654176</v>
      </c>
    </row>
    <row r="28" customFormat="false" ht="12.75" hidden="false" customHeight="false" outlineLevel="0" collapsed="false">
      <c r="A28" s="0" t="str">
        <f aca="false">+SCE!D129</f>
        <v>Other</v>
      </c>
      <c r="B28" s="2" t="n">
        <f aca="false">+SCE!E129</f>
        <v>529.3</v>
      </c>
      <c r="C28" s="19" t="n">
        <f aca="false">+SCE!F129</f>
        <v>14.7742301152466</v>
      </c>
      <c r="D28" s="4" t="n">
        <f aca="false">+SCE!G129</f>
        <v>78.2</v>
      </c>
      <c r="E28" s="4" t="n">
        <f aca="false">+SCE!H129</f>
        <v>16.2</v>
      </c>
      <c r="F28" s="4" t="n">
        <f aca="false">+SCE!I129</f>
        <v>94.4</v>
      </c>
      <c r="G28" s="19" t="n">
        <f aca="false">+SCE!J129</f>
        <v>17.8348762516531</v>
      </c>
      <c r="H28" s="34" t="n">
        <f aca="false">+SCE!K129</f>
        <v>0.207161125319693</v>
      </c>
    </row>
    <row r="29" customFormat="false" ht="12.75" hidden="false" customHeight="false" outlineLevel="0" collapsed="false">
      <c r="A29" s="0" t="str">
        <f aca="false">+SCE!D130</f>
        <v>Industrial</v>
      </c>
      <c r="B29" s="2" t="n">
        <f aca="false">+SCE!E130</f>
        <v>24844.9</v>
      </c>
      <c r="C29" s="19" t="n">
        <f aca="false">+SCE!F130</f>
        <v>8.63074514286634</v>
      </c>
      <c r="D29" s="4" t="n">
        <f aca="false">+SCE!G130</f>
        <v>2144.3</v>
      </c>
      <c r="E29" s="4" t="n">
        <f aca="false">+SCE!H130</f>
        <v>1055.7</v>
      </c>
      <c r="F29" s="4" t="n">
        <f aca="false">+SCE!I130</f>
        <v>3200</v>
      </c>
      <c r="G29" s="19" t="n">
        <f aca="false">+SCE!J130</f>
        <v>12.8799069426723</v>
      </c>
      <c r="H29" s="34" t="n">
        <f aca="false">+SCE!K130</f>
        <v>0.492328498810801</v>
      </c>
    </row>
    <row r="31" customFormat="false" ht="12.75" hidden="false" customHeight="false" outlineLevel="0" collapsed="false">
      <c r="A31" s="0" t="str">
        <f aca="false">+SCE!D132</f>
        <v>Total</v>
      </c>
      <c r="B31" s="2" t="n">
        <f aca="false">+SCE!E132</f>
        <v>83780</v>
      </c>
      <c r="C31" s="19" t="n">
        <f aca="false">+SCE!F132</f>
        <v>11.3225113392218</v>
      </c>
      <c r="D31" s="4" t="n">
        <f aca="false">+SCE!G132</f>
        <v>9486</v>
      </c>
      <c r="E31" s="4" t="n">
        <f aca="false">+SCE!H132</f>
        <v>2961</v>
      </c>
      <c r="F31" s="4" t="n">
        <f aca="false">+SCE!I132</f>
        <v>12447.1</v>
      </c>
      <c r="G31" s="19" t="n">
        <f aca="false">+SCE!J132</f>
        <v>14.8568870852232</v>
      </c>
      <c r="H31" s="34" t="n">
        <f aca="false">+SCE!K132</f>
        <v>0.312154754374868</v>
      </c>
    </row>
    <row r="35" customFormat="false" ht="12.75" hidden="false" customHeight="false" outlineLevel="0" collapsed="false">
      <c r="D35" s="35" t="s">
        <v>160</v>
      </c>
    </row>
    <row r="37" customFormat="false" ht="12.75" hidden="false" customHeight="false" outlineLevel="0" collapsed="false">
      <c r="B37" s="2" t="str">
        <f aca="false">+SDGE!E92</f>
        <v>Annual</v>
      </c>
      <c r="C37" s="19" t="str">
        <f aca="false">+SDGE!F92</f>
        <v>Current</v>
      </c>
      <c r="D37" s="4" t="str">
        <f aca="false">+SDGE!G92</f>
        <v>Current</v>
      </c>
      <c r="E37" s="4" t="str">
        <f aca="false">+SDGE!H92</f>
        <v>Revenue</v>
      </c>
      <c r="F37" s="4" t="str">
        <f aca="false">+SDGE!I92</f>
        <v>New Total </v>
      </c>
      <c r="G37" s="19" t="str">
        <f aca="false">+SDGE!J92</f>
        <v>New Rates</v>
      </c>
    </row>
    <row r="38" customFormat="false" ht="12.75" hidden="false" customHeight="false" outlineLevel="0" collapsed="false">
      <c r="A38" s="0" t="str">
        <f aca="false">+SDGE!D93</f>
        <v>Description</v>
      </c>
      <c r="B38" s="2" t="str">
        <f aca="false">+SDGE!E93</f>
        <v>Sales (GWh)</v>
      </c>
      <c r="C38" s="19" t="str">
        <f aca="false">+SDGE!F93</f>
        <v>Rate (cents)</v>
      </c>
      <c r="D38" s="4" t="str">
        <f aca="false">+SDGE!G93</f>
        <v>Revenue (MM)</v>
      </c>
      <c r="E38" s="4" t="str">
        <f aca="false">+SDGE!H93</f>
        <v>Increase (MM)</v>
      </c>
      <c r="F38" s="4" t="str">
        <f aca="false">+SDGE!I93</f>
        <v>Revenue</v>
      </c>
      <c r="G38" s="19" t="str">
        <f aca="false">+SDGE!J93</f>
        <v>(cents/kWh)</v>
      </c>
      <c r="H38" s="34" t="str">
        <f aca="false">+SDGE!K93</f>
        <v>Increase %</v>
      </c>
    </row>
    <row r="40" customFormat="false" ht="12.75" hidden="false" customHeight="false" outlineLevel="0" collapsed="false">
      <c r="A40" s="0" t="str">
        <f aca="false">+SDGE!D95</f>
        <v>Residential</v>
      </c>
      <c r="B40" s="2" t="n">
        <f aca="false">+SDGE!E95</f>
        <v>6259</v>
      </c>
      <c r="C40" s="19" t="n">
        <f aca="false">+SDGE!F95</f>
        <v>13.6906854130053</v>
      </c>
      <c r="D40" s="4" t="n">
        <f aca="false">+SDGE!G95</f>
        <v>856.9</v>
      </c>
      <c r="E40" s="4" t="n">
        <f aca="false">+SDGE!H95</f>
        <v>158.8</v>
      </c>
      <c r="F40" s="4" t="n">
        <f aca="false">+SDGE!I95</f>
        <v>1015.6</v>
      </c>
      <c r="G40" s="19" t="n">
        <f aca="false">+SDGE!J95</f>
        <v>16.2262342227193</v>
      </c>
      <c r="H40" s="34" t="n">
        <f aca="false">+SDGE!K95</f>
        <v>0.18520247403431</v>
      </c>
    </row>
    <row r="41" customFormat="false" ht="12.75" hidden="false" customHeight="false" outlineLevel="0" collapsed="false">
      <c r="A41" s="0" t="str">
        <f aca="false">+SDGE!D96</f>
        <v>Commercial</v>
      </c>
      <c r="B41" s="2" t="n">
        <f aca="false">+SDGE!E96</f>
        <v>2069</v>
      </c>
      <c r="C41" s="19" t="n">
        <f aca="false">+SDGE!F96</f>
        <v>14.1082648622523</v>
      </c>
      <c r="D41" s="4" t="n">
        <f aca="false">+SDGE!G96</f>
        <v>291.9</v>
      </c>
      <c r="E41" s="4" t="n">
        <f aca="false">+SDGE!H96</f>
        <v>62.1</v>
      </c>
      <c r="F41" s="4" t="n">
        <f aca="false">+SDGE!I96</f>
        <v>354.1</v>
      </c>
      <c r="G41" s="19" t="n">
        <f aca="false">+SDGE!J96</f>
        <v>17.1145480908652</v>
      </c>
      <c r="H41" s="34" t="n">
        <f aca="false">+SDGE!K96</f>
        <v>0.213086673518328</v>
      </c>
    </row>
    <row r="42" customFormat="false" ht="12.75" hidden="false" customHeight="false" outlineLevel="0" collapsed="false">
      <c r="A42" s="0" t="str">
        <f aca="false">+SDGE!D97</f>
        <v>Agricultural</v>
      </c>
      <c r="B42" s="2" t="n">
        <f aca="false">+SDGE!E97</f>
        <v>128</v>
      </c>
      <c r="C42" s="19" t="n">
        <f aca="false">+SDGE!F97</f>
        <v>12.734375</v>
      </c>
      <c r="D42" s="4" t="n">
        <f aca="false">+SDGE!G97</f>
        <v>16.3</v>
      </c>
      <c r="E42" s="4" t="n">
        <f aca="false">+SDGE!H97</f>
        <v>3.8</v>
      </c>
      <c r="F42" s="4" t="n">
        <f aca="false">+SDGE!I97</f>
        <v>20</v>
      </c>
      <c r="G42" s="19" t="n">
        <f aca="false">+SDGE!J97</f>
        <v>15.625</v>
      </c>
      <c r="H42" s="34" t="n">
        <f aca="false">+SDGE!K97</f>
        <v>0.226993865030675</v>
      </c>
    </row>
    <row r="43" customFormat="false" ht="12.75" hidden="false" customHeight="false" outlineLevel="0" collapsed="false">
      <c r="A43" s="0" t="str">
        <f aca="false">+SDGE!D98</f>
        <v>Other</v>
      </c>
      <c r="B43" s="2" t="n">
        <f aca="false">+SDGE!E98</f>
        <v>86</v>
      </c>
      <c r="C43" s="19" t="n">
        <f aca="false">+SDGE!F98</f>
        <v>14.6511627906977</v>
      </c>
      <c r="D43" s="4" t="n">
        <f aca="false">+SDGE!G98</f>
        <v>12.6</v>
      </c>
      <c r="E43" s="4" t="n">
        <f aca="false">+SDGE!H98</f>
        <v>2.6</v>
      </c>
      <c r="F43" s="4" t="n">
        <f aca="false">+SDGE!I98</f>
        <v>15.2</v>
      </c>
      <c r="G43" s="19" t="n">
        <f aca="false">+SDGE!J98</f>
        <v>17.6744186046512</v>
      </c>
      <c r="H43" s="34" t="n">
        <f aca="false">+SDGE!K98</f>
        <v>0.206349206349206</v>
      </c>
    </row>
    <row r="44" customFormat="false" ht="12.75" hidden="false" customHeight="false" outlineLevel="0" collapsed="false">
      <c r="A44" s="0" t="str">
        <f aca="false">+SDGE!D99</f>
        <v>Industrial</v>
      </c>
      <c r="B44" s="2" t="n">
        <f aca="false">+SDGE!E99</f>
        <v>8663</v>
      </c>
      <c r="C44" s="19" t="n">
        <f aca="false">+SDGE!F99</f>
        <v>11.6899457462773</v>
      </c>
      <c r="D44" s="4" t="n">
        <f aca="false">+SDGE!G99</f>
        <v>1012.7</v>
      </c>
      <c r="E44" s="4" t="n">
        <f aca="false">+SDGE!H99</f>
        <v>296</v>
      </c>
      <c r="F44" s="4" t="n">
        <f aca="false">+SDGE!I99</f>
        <v>1308.9</v>
      </c>
      <c r="G44" s="19" t="n">
        <f aca="false">+SDGE!J99</f>
        <v>15.1090846127208</v>
      </c>
      <c r="H44" s="34" t="n">
        <f aca="false">+SDGE!K99</f>
        <v>0.292485434975807</v>
      </c>
    </row>
    <row r="46" customFormat="false" ht="12.75" hidden="false" customHeight="false" outlineLevel="0" collapsed="false">
      <c r="A46" s="0" t="str">
        <f aca="false">+SDGE!D101</f>
        <v>Total</v>
      </c>
      <c r="B46" s="2" t="n">
        <f aca="false">+SDGE!E101</f>
        <v>17205</v>
      </c>
      <c r="C46" s="19" t="n">
        <f aca="false">+SDGE!F101</f>
        <v>12.7311827956989</v>
      </c>
      <c r="D46" s="4" t="n">
        <f aca="false">+SDGE!G101</f>
        <v>2190.4</v>
      </c>
      <c r="E46" s="4" t="n">
        <f aca="false">+SDGE!H101</f>
        <v>523.3</v>
      </c>
      <c r="F46" s="4" t="n">
        <f aca="false">+SDGE!I101</f>
        <v>2713.8</v>
      </c>
      <c r="G46" s="19" t="n">
        <f aca="false">+SDGE!J101</f>
        <v>15.7733217088056</v>
      </c>
      <c r="H46" s="34" t="n">
        <f aca="false">+SDGE!K101</f>
        <v>0.238951789627465</v>
      </c>
    </row>
    <row r="50" customFormat="false" ht="12.75" hidden="false" customHeight="false" outlineLevel="0" collapsed="false">
      <c r="D50" s="35" t="s">
        <v>161</v>
      </c>
    </row>
    <row r="52" customFormat="false" ht="12.75" hidden="false" customHeight="false" outlineLevel="0" collapsed="false">
      <c r="B52" s="2" t="str">
        <f aca="false">+B37</f>
        <v>Annual</v>
      </c>
      <c r="C52" s="2" t="str">
        <f aca="false">+C37</f>
        <v>Current</v>
      </c>
      <c r="D52" s="2" t="str">
        <f aca="false">+D37</f>
        <v>Current</v>
      </c>
      <c r="E52" s="2" t="str">
        <f aca="false">+E37</f>
        <v>Revenue</v>
      </c>
      <c r="F52" s="2" t="str">
        <f aca="false">+F37</f>
        <v>New Total </v>
      </c>
      <c r="G52" s="2" t="str">
        <f aca="false">+G37</f>
        <v>New Rates</v>
      </c>
      <c r="H52" s="2"/>
    </row>
    <row r="53" customFormat="false" ht="12.75" hidden="false" customHeight="false" outlineLevel="0" collapsed="false">
      <c r="A53" s="2" t="str">
        <f aca="false">+A38</f>
        <v>Description</v>
      </c>
      <c r="B53" s="2" t="str">
        <f aca="false">+B38</f>
        <v>Sales (GWh)</v>
      </c>
      <c r="C53" s="2" t="str">
        <f aca="false">+C38</f>
        <v>Rate (cents)</v>
      </c>
      <c r="D53" s="2" t="str">
        <f aca="false">+D38</f>
        <v>Revenue (MM)</v>
      </c>
      <c r="E53" s="2" t="str">
        <f aca="false">+E38</f>
        <v>Increase (MM)</v>
      </c>
      <c r="F53" s="2" t="str">
        <f aca="false">+F38</f>
        <v>Revenue</v>
      </c>
      <c r="G53" s="2" t="str">
        <f aca="false">+G38</f>
        <v>(cents/kWh)</v>
      </c>
      <c r="H53" s="2" t="str">
        <f aca="false">+H38</f>
        <v>Increase %</v>
      </c>
    </row>
    <row r="55" customFormat="false" ht="12.75" hidden="false" customHeight="false" outlineLevel="0" collapsed="false">
      <c r="A55" s="0" t="str">
        <f aca="false">+A40</f>
        <v>Residential</v>
      </c>
      <c r="B55" s="2" t="n">
        <f aca="false">+B10+B25+B40</f>
        <v>60024.926315</v>
      </c>
      <c r="C55" s="19" t="n">
        <f aca="false">+D55/B55*100</f>
        <v>12.7448248830058</v>
      </c>
      <c r="D55" s="4" t="n">
        <f aca="false">+D10+D25+D40</f>
        <v>7650.071745</v>
      </c>
      <c r="E55" s="4" t="n">
        <f aca="false">+E10+E25+E40</f>
        <v>1446.837899</v>
      </c>
      <c r="F55" s="4" t="n">
        <f aca="false">+F10+F25+F40</f>
        <v>9096.809644</v>
      </c>
      <c r="G55" s="19" t="n">
        <f aca="false">+F55/B55*100</f>
        <v>15.1550534127465</v>
      </c>
      <c r="H55" s="34" t="n">
        <f aca="false">+E55/D55</f>
        <v>0.189127363406185</v>
      </c>
    </row>
    <row r="56" customFormat="false" ht="12.75" hidden="false" customHeight="false" outlineLevel="0" collapsed="false">
      <c r="A56" s="0" t="str">
        <f aca="false">+A41</f>
        <v>Commercial</v>
      </c>
      <c r="B56" s="2" t="n">
        <f aca="false">+B11+B26+B41</f>
        <v>64409.065512</v>
      </c>
      <c r="C56" s="19" t="n">
        <f aca="false">+D56/B56*100</f>
        <v>11.2661944406693</v>
      </c>
      <c r="D56" s="4" t="n">
        <f aca="false">+D11+D26+D41</f>
        <v>7256.450558</v>
      </c>
      <c r="E56" s="4" t="n">
        <f aca="false">+E11+E26+E41</f>
        <v>2692.512666</v>
      </c>
      <c r="F56" s="4" t="n">
        <f aca="false">+F11+F26+F41</f>
        <v>9949.063224</v>
      </c>
      <c r="G56" s="19" t="n">
        <f aca="false">+F56/B56*100</f>
        <v>15.4466815267587</v>
      </c>
      <c r="H56" s="34" t="n">
        <f aca="false">+E56/D56</f>
        <v>0.371050921449688</v>
      </c>
    </row>
    <row r="57" customFormat="false" ht="12.75" hidden="false" customHeight="false" outlineLevel="0" collapsed="false">
      <c r="A57" s="0" t="str">
        <f aca="false">+A42</f>
        <v>Agricultural</v>
      </c>
      <c r="B57" s="2" t="n">
        <f aca="false">+B12+B27+B42</f>
        <v>6666.674203</v>
      </c>
      <c r="C57" s="19" t="n">
        <f aca="false">+D57/B57*100</f>
        <v>11.0816111527927</v>
      </c>
      <c r="D57" s="4" t="n">
        <f aca="false">+D12+D27+D42</f>
        <v>738.774912</v>
      </c>
      <c r="E57" s="4" t="n">
        <f aca="false">+E12+E27+E42</f>
        <v>135.98417</v>
      </c>
      <c r="F57" s="4" t="n">
        <f aca="false">+F12+F27+F42</f>
        <v>874.759082</v>
      </c>
      <c r="G57" s="19" t="n">
        <f aca="false">+F57/B57*100</f>
        <v>13.1213713969457</v>
      </c>
      <c r="H57" s="34" t="n">
        <f aca="false">+E57/D57</f>
        <v>0.184067119485509</v>
      </c>
    </row>
    <row r="58" customFormat="false" ht="12.75" hidden="false" customHeight="false" outlineLevel="0" collapsed="false">
      <c r="A58" s="0" t="str">
        <f aca="false">+A43</f>
        <v>Other</v>
      </c>
      <c r="B58" s="2" t="n">
        <f aca="false">+B13+B28+B43</f>
        <v>1132.958395</v>
      </c>
      <c r="C58" s="19" t="n">
        <f aca="false">+D58/B58*100</f>
        <v>13.7456087255525</v>
      </c>
      <c r="D58" s="4" t="n">
        <f aca="false">+D13+D28+D43</f>
        <v>155.732028</v>
      </c>
      <c r="E58" s="4" t="n">
        <f aca="false">+E13+E28+E43</f>
        <v>41.305094</v>
      </c>
      <c r="F58" s="4" t="n">
        <f aca="false">+F13+F28+F43</f>
        <v>197.037122</v>
      </c>
      <c r="G58" s="19" t="n">
        <f aca="false">+F58/B58*100</f>
        <v>17.391381966855</v>
      </c>
      <c r="H58" s="34" t="n">
        <f aca="false">+E58/D58</f>
        <v>0.265231850701899</v>
      </c>
    </row>
    <row r="59" customFormat="false" ht="12.75" hidden="false" customHeight="false" outlineLevel="0" collapsed="false">
      <c r="A59" s="0" t="str">
        <f aca="false">+A44</f>
        <v>Industrial</v>
      </c>
      <c r="B59" s="2" t="n">
        <f aca="false">+B14+B29+B44</f>
        <v>50742.346502</v>
      </c>
      <c r="C59" s="19" t="n">
        <f aca="false">+D59/B59*100</f>
        <v>8.65718499799148</v>
      </c>
      <c r="D59" s="4" t="n">
        <f aca="false">+D14+D29+D44</f>
        <v>4392.858809</v>
      </c>
      <c r="E59" s="4" t="n">
        <f aca="false">+E14+E29+E44</f>
        <v>2050.389293</v>
      </c>
      <c r="F59" s="4" t="n">
        <f aca="false">+F14+F29+F44</f>
        <v>6443.448102</v>
      </c>
      <c r="G59" s="19" t="n">
        <f aca="false">+F59/B59*100</f>
        <v>12.698364475017</v>
      </c>
      <c r="H59" s="34" t="n">
        <f aca="false">+E59/D59</f>
        <v>0.466755109178379</v>
      </c>
    </row>
    <row r="61" customFormat="false" ht="12.75" hidden="false" customHeight="false" outlineLevel="0" collapsed="false">
      <c r="A61" s="0" t="str">
        <f aca="false">+A46</f>
        <v>Total</v>
      </c>
      <c r="B61" s="2" t="n">
        <f aca="false">+B16+B31+B46</f>
        <v>182975.970927</v>
      </c>
      <c r="C61" s="19" t="n">
        <f aca="false">+D61/B61*100</f>
        <v>11.0363606487196</v>
      </c>
      <c r="D61" s="4" t="n">
        <f aca="false">+D16+D31+D46</f>
        <v>20193.888052</v>
      </c>
      <c r="E61" s="4" t="n">
        <f aca="false">+E16+E31+E46</f>
        <v>6367.029122</v>
      </c>
      <c r="F61" s="4" t="n">
        <f aca="false">+F16+F31+F46</f>
        <v>26561.117174</v>
      </c>
      <c r="G61" s="19" t="n">
        <f aca="false">+F61/B61*100</f>
        <v>14.5161777469659</v>
      </c>
      <c r="H61" s="34" t="n">
        <f aca="false">+E61/D61</f>
        <v>0.31529486078187</v>
      </c>
    </row>
  </sheetData>
  <printOptions headings="false" gridLines="false" gridLinesSet="true" horizontalCentered="false" verticalCentered="false"/>
  <pageMargins left="2.35" right="0.747916666666667" top="0.640277777777778" bottom="0.539583333333333" header="0.511811023622047" footer="0.1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C7:H66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56"/>
    <col collapsed="false" customWidth="true" hidden="false" outlineLevel="0" max="4" min="4" style="2" width="11.85"/>
    <col collapsed="false" customWidth="true" hidden="false" outlineLevel="0" max="5" min="5" style="36" width="11.99"/>
    <col collapsed="false" customWidth="true" hidden="false" outlineLevel="0" max="6" min="6" style="33" width="13.28"/>
    <col collapsed="false" customWidth="true" hidden="false" outlineLevel="0" max="7" min="7" style="3" width="11.99"/>
    <col collapsed="false" customWidth="true" hidden="false" outlineLevel="0" max="8" min="8" style="5" width="11.99"/>
  </cols>
  <sheetData>
    <row r="7" customFormat="false" ht="12.75" hidden="false" customHeight="false" outlineLevel="0" collapsed="false">
      <c r="F7" s="37" t="str">
        <f aca="false">+'All Summary'!D5</f>
        <v>PGE</v>
      </c>
    </row>
    <row r="9" customFormat="false" ht="12.75" hidden="false" customHeight="false" outlineLevel="0" collapsed="false">
      <c r="D9" s="2" t="str">
        <f aca="false">+'All Summary'!B7</f>
        <v>Annual</v>
      </c>
      <c r="E9" s="36" t="str">
        <f aca="false">+'All Summary'!C7</f>
        <v>Current</v>
      </c>
      <c r="F9" s="33" t="str">
        <f aca="false">+'All Summary'!E7</f>
        <v>Revenue</v>
      </c>
      <c r="G9" s="3" t="str">
        <f aca="false">+'All Summary'!G7</f>
        <v>New Rates</v>
      </c>
    </row>
    <row r="10" customFormat="false" ht="12.75" hidden="false" customHeight="false" outlineLevel="0" collapsed="false">
      <c r="C10" s="0" t="str">
        <f aca="false">+'All Summary'!A8</f>
        <v>Description</v>
      </c>
      <c r="D10" s="2" t="str">
        <f aca="false">+'All Summary'!B8</f>
        <v>Sales (GWh)</v>
      </c>
      <c r="E10" s="36" t="str">
        <f aca="false">+'All Summary'!C8</f>
        <v>Rate (cents)</v>
      </c>
      <c r="F10" s="33" t="str">
        <f aca="false">+'All Summary'!E8</f>
        <v>Increase (MM)</v>
      </c>
      <c r="G10" s="3" t="str">
        <f aca="false">+'All Summary'!G8</f>
        <v>(cents/kWh)</v>
      </c>
      <c r="H10" s="5" t="str">
        <f aca="false">+'All Summary'!H8</f>
        <v>Increase %</v>
      </c>
    </row>
    <row r="12" customFormat="false" ht="12.75" hidden="false" customHeight="false" outlineLevel="0" collapsed="false">
      <c r="C12" s="0" t="str">
        <f aca="false">+'All Summary'!A10</f>
        <v>Residential</v>
      </c>
      <c r="D12" s="2" t="n">
        <f aca="false">+'All Summary'!B10</f>
        <v>28847.626315</v>
      </c>
      <c r="E12" s="36" t="n">
        <f aca="false">+'All Summary'!C10</f>
        <v>11.6064029270202</v>
      </c>
      <c r="F12" s="33" t="n">
        <f aca="false">+'All Summary'!E10</f>
        <v>697.537899</v>
      </c>
      <c r="G12" s="3" t="n">
        <f aca="false">+'All Summary'!G10</f>
        <v>14.0244108815856</v>
      </c>
      <c r="H12" s="5" t="n">
        <f aca="false">+'All Summary'!H10</f>
        <v>0.208333966153818</v>
      </c>
    </row>
    <row r="13" customFormat="false" ht="12.75" hidden="false" customHeight="false" outlineLevel="0" collapsed="false">
      <c r="C13" s="0" t="str">
        <f aca="false">+'All Summary'!A11</f>
        <v>Commercial</v>
      </c>
      <c r="D13" s="2" t="n">
        <f aca="false">+'All Summary'!B11</f>
        <v>31968.365512</v>
      </c>
      <c r="E13" s="36" t="n">
        <f aca="false">+'All Summary'!C11</f>
        <v>10.8261730075029</v>
      </c>
      <c r="F13" s="33" t="n">
        <f aca="false">+'All Summary'!E11</f>
        <v>1386.612666</v>
      </c>
      <c r="G13" s="3" t="n">
        <f aca="false">+'All Summary'!G11</f>
        <v>15.1636254977764</v>
      </c>
      <c r="H13" s="5" t="n">
        <f aca="false">+'All Summary'!H11</f>
        <v>0.40064503747239</v>
      </c>
    </row>
    <row r="14" customFormat="false" ht="12.75" hidden="false" customHeight="false" outlineLevel="0" collapsed="false">
      <c r="C14" s="0" t="str">
        <f aca="false">+'All Summary'!A12</f>
        <v>Agricultural</v>
      </c>
      <c r="D14" s="2" t="n">
        <f aca="false">+'All Summary'!B12</f>
        <v>3422.874203</v>
      </c>
      <c r="E14" s="36" t="n">
        <f aca="false">+'All Summary'!C12</f>
        <v>11.9073879969874</v>
      </c>
      <c r="F14" s="33" t="n">
        <f aca="false">+'All Summary'!E12</f>
        <v>77.38417</v>
      </c>
      <c r="G14" s="3" t="n">
        <f aca="false">+'All Summary'!G12</f>
        <v>14.1681830309438</v>
      </c>
      <c r="H14" s="5" t="n">
        <f aca="false">+'All Summary'!H12</f>
        <v>0.189864900222318</v>
      </c>
    </row>
    <row r="15" customFormat="false" ht="12.75" hidden="false" customHeight="false" outlineLevel="0" collapsed="false">
      <c r="C15" s="0" t="str">
        <f aca="false">+'All Summary'!A13</f>
        <v>Other</v>
      </c>
      <c r="D15" s="2" t="n">
        <f aca="false">+'All Summary'!B13</f>
        <v>517.658395</v>
      </c>
      <c r="E15" s="36" t="n">
        <f aca="false">+'All Summary'!C13</f>
        <v>12.5434125336652</v>
      </c>
      <c r="F15" s="33" t="n">
        <f aca="false">+'All Summary'!E13</f>
        <v>22.505094</v>
      </c>
      <c r="G15" s="3" t="n">
        <f aca="false">+'All Summary'!G13</f>
        <v>16.8908923036011</v>
      </c>
      <c r="H15" s="5" t="n">
        <f aca="false">+'All Summary'!H13</f>
        <v>0.346594657416214</v>
      </c>
    </row>
    <row r="16" customFormat="false" ht="12.75" hidden="false" customHeight="false" outlineLevel="0" collapsed="false">
      <c r="C16" s="0" t="str">
        <f aca="false">+'All Summary'!A14</f>
        <v>Industrial</v>
      </c>
      <c r="D16" s="2" t="n">
        <f aca="false">+'All Summary'!B14</f>
        <v>17234.446502</v>
      </c>
      <c r="E16" s="36" t="n">
        <f aca="false">+'All Summary'!C14</f>
        <v>7.17086451750326</v>
      </c>
      <c r="F16" s="33" t="n">
        <f aca="false">+'All Summary'!E14</f>
        <v>698.689293</v>
      </c>
      <c r="G16" s="3" t="n">
        <f aca="false">+'All Summary'!G14</f>
        <v>11.2248925532683</v>
      </c>
      <c r="H16" s="5" t="n">
        <f aca="false">+'All Summary'!H14</f>
        <v>0.565347180367106</v>
      </c>
    </row>
    <row r="18" customFormat="false" ht="12.75" hidden="false" customHeight="false" outlineLevel="0" collapsed="false">
      <c r="C18" s="0" t="str">
        <f aca="false">+'All Summary'!A16</f>
        <v>Total</v>
      </c>
      <c r="D18" s="2" t="n">
        <f aca="false">+'All Summary'!B16</f>
        <v>81990.970927</v>
      </c>
      <c r="E18" s="36" t="n">
        <f aca="false">+'All Summary'!C16</f>
        <v>10.3883244163354</v>
      </c>
      <c r="F18" s="33" t="n">
        <f aca="false">+'All Summary'!E16</f>
        <v>2882.729122</v>
      </c>
      <c r="G18" s="3" t="n">
        <f aca="false">+'All Summary'!G16</f>
        <v>13.9042348750207</v>
      </c>
      <c r="H18" s="5" t="n">
        <f aca="false">+'All Summary'!H16</f>
        <v>0.338448273058992</v>
      </c>
    </row>
    <row r="20" customFormat="false" ht="12.75" hidden="false" customHeight="false" outlineLevel="0" collapsed="false">
      <c r="C20" s="0" t="s">
        <v>162</v>
      </c>
      <c r="D20" s="2" t="n">
        <f aca="false">93000*0.58</f>
        <v>53940</v>
      </c>
    </row>
    <row r="23" customFormat="false" ht="12.75" hidden="false" customHeight="false" outlineLevel="0" collapsed="false">
      <c r="F23" s="37" t="str">
        <f aca="false">+'All Summary'!D20</f>
        <v>SCE</v>
      </c>
    </row>
    <row r="25" customFormat="false" ht="12.75" hidden="false" customHeight="false" outlineLevel="0" collapsed="false">
      <c r="D25" s="2" t="str">
        <f aca="false">+'All Summary'!B22</f>
        <v>Annual</v>
      </c>
      <c r="E25" s="36" t="str">
        <f aca="false">+'All Summary'!C22</f>
        <v>Current</v>
      </c>
      <c r="F25" s="33" t="str">
        <f aca="false">+'All Summary'!E22</f>
        <v>Revenue</v>
      </c>
      <c r="G25" s="3" t="str">
        <f aca="false">+'All Summary'!G22</f>
        <v>New Rates</v>
      </c>
    </row>
    <row r="26" customFormat="false" ht="12.75" hidden="false" customHeight="false" outlineLevel="0" collapsed="false">
      <c r="C26" s="0" t="str">
        <f aca="false">+'All Summary'!A23</f>
        <v>Description</v>
      </c>
      <c r="D26" s="2" t="str">
        <f aca="false">+'All Summary'!B23</f>
        <v>Sales (GWh)</v>
      </c>
      <c r="E26" s="36" t="str">
        <f aca="false">+'All Summary'!C23</f>
        <v>Rate (cents)</v>
      </c>
      <c r="F26" s="33" t="str">
        <f aca="false">+'All Summary'!E23</f>
        <v>Increase (MM)</v>
      </c>
      <c r="G26" s="3" t="str">
        <f aca="false">+'All Summary'!G23</f>
        <v>(cents/kWh)</v>
      </c>
      <c r="H26" s="5" t="str">
        <f aca="false">+'All Summary'!H23</f>
        <v>Increase %</v>
      </c>
    </row>
    <row r="28" customFormat="false" ht="12.75" hidden="false" customHeight="false" outlineLevel="0" collapsed="false">
      <c r="C28" s="0" t="str">
        <f aca="false">+'All Summary'!A25</f>
        <v>Residential</v>
      </c>
      <c r="D28" s="2" t="n">
        <f aca="false">+'All Summary'!B25</f>
        <v>24918.3</v>
      </c>
      <c r="E28" s="36" t="n">
        <f aca="false">+'All Summary'!C25</f>
        <v>13.8251806904965</v>
      </c>
      <c r="F28" s="33" t="n">
        <f aca="false">+'All Summary'!E25</f>
        <v>590.5</v>
      </c>
      <c r="G28" s="3" t="n">
        <f aca="false">+'All Summary'!G25</f>
        <v>16.1949250149489</v>
      </c>
      <c r="H28" s="5" t="n">
        <f aca="false">+'All Summary'!H25</f>
        <v>0.171407837445573</v>
      </c>
    </row>
    <row r="29" customFormat="false" ht="12.75" hidden="false" customHeight="false" outlineLevel="0" collapsed="false">
      <c r="C29" s="0" t="str">
        <f aca="false">+'All Summary'!A26</f>
        <v>Commercial</v>
      </c>
      <c r="D29" s="2" t="n">
        <f aca="false">+'All Summary'!B26</f>
        <v>30371.7</v>
      </c>
      <c r="E29" s="36" t="n">
        <f aca="false">+'All Summary'!C26</f>
        <v>11.5357388621644</v>
      </c>
      <c r="F29" s="33" t="n">
        <f aca="false">+'All Summary'!E26</f>
        <v>1243.8</v>
      </c>
      <c r="G29" s="3" t="n">
        <f aca="false">+'All Summary'!G26</f>
        <v>15.6309985940859</v>
      </c>
      <c r="H29" s="5" t="n">
        <f aca="false">+'All Summary'!H26</f>
        <v>0.355006279255623</v>
      </c>
    </row>
    <row r="30" customFormat="false" ht="12.75" hidden="false" customHeight="false" outlineLevel="0" collapsed="false">
      <c r="C30" s="0" t="str">
        <f aca="false">+'All Summary'!A27</f>
        <v>Agricultural</v>
      </c>
      <c r="D30" s="2" t="n">
        <f aca="false">+'All Summary'!B27</f>
        <v>3115.8</v>
      </c>
      <c r="E30" s="36" t="n">
        <f aca="false">+'All Summary'!C27</f>
        <v>10.1065536940754</v>
      </c>
      <c r="F30" s="33" t="n">
        <f aca="false">+'All Summary'!E27</f>
        <v>54.8</v>
      </c>
      <c r="G30" s="3" t="n">
        <f aca="false">+'All Summary'!G27</f>
        <v>11.8685409846588</v>
      </c>
      <c r="H30" s="5" t="n">
        <f aca="false">+'All Summary'!H27</f>
        <v>0.174341060654176</v>
      </c>
    </row>
    <row r="31" customFormat="false" ht="12.75" hidden="false" customHeight="false" outlineLevel="0" collapsed="false">
      <c r="C31" s="0" t="str">
        <f aca="false">+'All Summary'!A28</f>
        <v>Other</v>
      </c>
      <c r="D31" s="2" t="n">
        <f aca="false">+'All Summary'!B28</f>
        <v>529.3</v>
      </c>
      <c r="E31" s="36" t="n">
        <f aca="false">+'All Summary'!C28</f>
        <v>14.7742301152466</v>
      </c>
      <c r="F31" s="33" t="n">
        <f aca="false">+'All Summary'!E28</f>
        <v>16.2</v>
      </c>
      <c r="G31" s="3" t="n">
        <f aca="false">+'All Summary'!G28</f>
        <v>17.8348762516531</v>
      </c>
      <c r="H31" s="5" t="n">
        <f aca="false">+'All Summary'!H28</f>
        <v>0.207161125319693</v>
      </c>
    </row>
    <row r="32" customFormat="false" ht="12.75" hidden="false" customHeight="false" outlineLevel="0" collapsed="false">
      <c r="C32" s="0" t="str">
        <f aca="false">+'All Summary'!A29</f>
        <v>Industrial</v>
      </c>
      <c r="D32" s="2" t="n">
        <f aca="false">+'All Summary'!B29</f>
        <v>24844.9</v>
      </c>
      <c r="E32" s="36" t="n">
        <f aca="false">+'All Summary'!C29</f>
        <v>8.63074514286634</v>
      </c>
      <c r="F32" s="33" t="n">
        <f aca="false">+'All Summary'!E29</f>
        <v>1055.7</v>
      </c>
      <c r="G32" s="3" t="n">
        <f aca="false">+'All Summary'!G29</f>
        <v>12.8799069426723</v>
      </c>
      <c r="H32" s="5" t="n">
        <f aca="false">+'All Summary'!H29</f>
        <v>0.492328498810801</v>
      </c>
    </row>
    <row r="34" customFormat="false" ht="12.75" hidden="false" customHeight="false" outlineLevel="0" collapsed="false">
      <c r="C34" s="0" t="str">
        <f aca="false">+'All Summary'!A31</f>
        <v>Total</v>
      </c>
      <c r="D34" s="2" t="n">
        <f aca="false">+'All Summary'!B31</f>
        <v>83780</v>
      </c>
      <c r="E34" s="36" t="n">
        <f aca="false">+'All Summary'!C31</f>
        <v>11.3225113392218</v>
      </c>
      <c r="F34" s="33" t="n">
        <f aca="false">+'All Summary'!E31</f>
        <v>2961</v>
      </c>
      <c r="G34" s="3" t="n">
        <f aca="false">+'All Summary'!G31</f>
        <v>14.8568870852232</v>
      </c>
      <c r="H34" s="5" t="n">
        <f aca="false">+'All Summary'!H31</f>
        <v>0.312154754374868</v>
      </c>
    </row>
    <row r="36" customFormat="false" ht="12.75" hidden="false" customHeight="false" outlineLevel="0" collapsed="false">
      <c r="C36" s="0" t="s">
        <v>163</v>
      </c>
      <c r="D36" s="2" t="n">
        <f aca="false">83000*0.66</f>
        <v>54780</v>
      </c>
    </row>
    <row r="38" customFormat="false" ht="12.75" hidden="false" customHeight="false" outlineLevel="0" collapsed="false">
      <c r="F38" s="37" t="str">
        <f aca="false">+'All Summary'!D35</f>
        <v>SDGE</v>
      </c>
    </row>
    <row r="40" customFormat="false" ht="12.75" hidden="false" customHeight="false" outlineLevel="0" collapsed="false">
      <c r="D40" s="2" t="str">
        <f aca="false">+'All Summary'!B37</f>
        <v>Annual</v>
      </c>
      <c r="E40" s="36" t="str">
        <f aca="false">+'All Summary'!C37</f>
        <v>Current</v>
      </c>
      <c r="F40" s="33" t="str">
        <f aca="false">+'All Summary'!E37</f>
        <v>Revenue</v>
      </c>
      <c r="G40" s="3" t="str">
        <f aca="false">+'All Summary'!G37</f>
        <v>New Rates</v>
      </c>
    </row>
    <row r="41" customFormat="false" ht="12.75" hidden="false" customHeight="false" outlineLevel="0" collapsed="false">
      <c r="C41" s="0" t="str">
        <f aca="false">+'All Summary'!A38</f>
        <v>Description</v>
      </c>
      <c r="D41" s="2" t="str">
        <f aca="false">+'All Summary'!B38</f>
        <v>Sales (GWh)</v>
      </c>
      <c r="E41" s="36" t="str">
        <f aca="false">+'All Summary'!C38</f>
        <v>Rate (cents)</v>
      </c>
      <c r="F41" s="33" t="str">
        <f aca="false">+'All Summary'!E38</f>
        <v>Increase (MM)</v>
      </c>
      <c r="G41" s="3" t="str">
        <f aca="false">+'All Summary'!G38</f>
        <v>(cents/kWh)</v>
      </c>
      <c r="H41" s="5" t="str">
        <f aca="false">+'All Summary'!H38</f>
        <v>Increase %</v>
      </c>
    </row>
    <row r="43" customFormat="false" ht="12.75" hidden="false" customHeight="false" outlineLevel="0" collapsed="false">
      <c r="C43" s="0" t="str">
        <f aca="false">+'All Summary'!A40</f>
        <v>Residential</v>
      </c>
      <c r="D43" s="2" t="n">
        <f aca="false">+'All Summary'!B40</f>
        <v>6259</v>
      </c>
      <c r="E43" s="36" t="n">
        <f aca="false">+'All Summary'!C40</f>
        <v>13.6906854130053</v>
      </c>
      <c r="F43" s="33" t="n">
        <f aca="false">+'All Summary'!E40</f>
        <v>158.8</v>
      </c>
      <c r="G43" s="3" t="n">
        <f aca="false">+'All Summary'!G40</f>
        <v>16.2262342227193</v>
      </c>
      <c r="H43" s="5" t="n">
        <f aca="false">+'All Summary'!H40</f>
        <v>0.18520247403431</v>
      </c>
    </row>
    <row r="44" customFormat="false" ht="12.75" hidden="false" customHeight="false" outlineLevel="0" collapsed="false">
      <c r="C44" s="0" t="str">
        <f aca="false">+'All Summary'!A41</f>
        <v>Commercial</v>
      </c>
      <c r="D44" s="2" t="n">
        <f aca="false">+'All Summary'!B41</f>
        <v>2069</v>
      </c>
      <c r="E44" s="36" t="n">
        <f aca="false">+'All Summary'!C41</f>
        <v>14.1082648622523</v>
      </c>
      <c r="F44" s="33" t="n">
        <f aca="false">+'All Summary'!E41</f>
        <v>62.1</v>
      </c>
      <c r="G44" s="3" t="n">
        <f aca="false">+'All Summary'!G41</f>
        <v>17.1145480908652</v>
      </c>
      <c r="H44" s="5" t="n">
        <f aca="false">+'All Summary'!H41</f>
        <v>0.213086673518328</v>
      </c>
    </row>
    <row r="45" customFormat="false" ht="12.75" hidden="false" customHeight="false" outlineLevel="0" collapsed="false">
      <c r="C45" s="0" t="str">
        <f aca="false">+'All Summary'!A42</f>
        <v>Agricultural</v>
      </c>
      <c r="D45" s="2" t="n">
        <f aca="false">+'All Summary'!B42</f>
        <v>128</v>
      </c>
      <c r="E45" s="36" t="n">
        <f aca="false">+'All Summary'!C42</f>
        <v>12.734375</v>
      </c>
      <c r="F45" s="33" t="n">
        <f aca="false">+'All Summary'!E42</f>
        <v>3.8</v>
      </c>
      <c r="G45" s="3" t="n">
        <f aca="false">+'All Summary'!G42</f>
        <v>15.625</v>
      </c>
      <c r="H45" s="5" t="n">
        <f aca="false">+'All Summary'!H42</f>
        <v>0.226993865030675</v>
      </c>
    </row>
    <row r="46" customFormat="false" ht="12.75" hidden="false" customHeight="false" outlineLevel="0" collapsed="false">
      <c r="C46" s="0" t="str">
        <f aca="false">+'All Summary'!A43</f>
        <v>Other</v>
      </c>
      <c r="D46" s="2" t="n">
        <f aca="false">+'All Summary'!B43</f>
        <v>86</v>
      </c>
      <c r="E46" s="36" t="n">
        <f aca="false">+'All Summary'!C43</f>
        <v>14.6511627906977</v>
      </c>
      <c r="F46" s="33" t="n">
        <f aca="false">+'All Summary'!E43</f>
        <v>2.6</v>
      </c>
      <c r="G46" s="3" t="n">
        <f aca="false">+'All Summary'!G43</f>
        <v>17.6744186046512</v>
      </c>
      <c r="H46" s="5" t="n">
        <f aca="false">+'All Summary'!H43</f>
        <v>0.206349206349206</v>
      </c>
    </row>
    <row r="47" customFormat="false" ht="12.75" hidden="false" customHeight="false" outlineLevel="0" collapsed="false">
      <c r="C47" s="0" t="str">
        <f aca="false">+'All Summary'!A44</f>
        <v>Industrial</v>
      </c>
      <c r="D47" s="2" t="n">
        <f aca="false">+'All Summary'!B44</f>
        <v>8663</v>
      </c>
      <c r="E47" s="36" t="n">
        <f aca="false">+'All Summary'!C44</f>
        <v>11.6899457462773</v>
      </c>
      <c r="F47" s="33" t="n">
        <f aca="false">+'All Summary'!E44</f>
        <v>296</v>
      </c>
      <c r="G47" s="3" t="n">
        <f aca="false">+'All Summary'!G44</f>
        <v>15.1090846127208</v>
      </c>
      <c r="H47" s="5" t="n">
        <f aca="false">+'All Summary'!H44</f>
        <v>0.292485434975807</v>
      </c>
    </row>
    <row r="49" customFormat="false" ht="12.75" hidden="false" customHeight="false" outlineLevel="0" collapsed="false">
      <c r="C49" s="0" t="str">
        <f aca="false">+'All Summary'!A46</f>
        <v>Total</v>
      </c>
      <c r="D49" s="2" t="n">
        <f aca="false">+'All Summary'!B46</f>
        <v>17205</v>
      </c>
      <c r="E49" s="36" t="n">
        <f aca="false">+'All Summary'!C46</f>
        <v>12.7311827956989</v>
      </c>
      <c r="F49" s="33" t="n">
        <f aca="false">+'All Summary'!E46</f>
        <v>523.3</v>
      </c>
      <c r="G49" s="3" t="n">
        <f aca="false">+'All Summary'!G46</f>
        <v>15.7733217088056</v>
      </c>
      <c r="H49" s="5" t="n">
        <f aca="false">+'All Summary'!H46</f>
        <v>0.238951789627465</v>
      </c>
    </row>
    <row r="51" customFormat="false" ht="12.75" hidden="false" customHeight="false" outlineLevel="0" collapsed="false">
      <c r="C51" s="0" t="s">
        <v>164</v>
      </c>
      <c r="D51" s="2" t="n">
        <f aca="false">16000*0.33</f>
        <v>5280</v>
      </c>
    </row>
    <row r="53" customFormat="false" ht="12.75" hidden="false" customHeight="false" outlineLevel="0" collapsed="false">
      <c r="F53" s="37" t="str">
        <f aca="false">+'All Summary'!D50</f>
        <v>TOTAL</v>
      </c>
    </row>
    <row r="55" customFormat="false" ht="12.75" hidden="false" customHeight="false" outlineLevel="0" collapsed="false">
      <c r="D55" s="2" t="str">
        <f aca="false">+'All Summary'!B52</f>
        <v>Annual</v>
      </c>
      <c r="E55" s="36" t="str">
        <f aca="false">+'All Summary'!C52</f>
        <v>Current</v>
      </c>
      <c r="F55" s="33" t="str">
        <f aca="false">+'All Summary'!E52</f>
        <v>Revenue</v>
      </c>
      <c r="G55" s="3" t="str">
        <f aca="false">+'All Summary'!G52</f>
        <v>New Rates</v>
      </c>
    </row>
    <row r="56" customFormat="false" ht="12.75" hidden="false" customHeight="false" outlineLevel="0" collapsed="false">
      <c r="C56" s="0" t="str">
        <f aca="false">+'All Summary'!A53</f>
        <v>Description</v>
      </c>
      <c r="D56" s="2" t="str">
        <f aca="false">+'All Summary'!B53</f>
        <v>Sales (GWh)</v>
      </c>
      <c r="E56" s="36" t="str">
        <f aca="false">+'All Summary'!C53</f>
        <v>Rate (cents)</v>
      </c>
      <c r="F56" s="33" t="str">
        <f aca="false">+'All Summary'!E53</f>
        <v>Increase (MM)</v>
      </c>
      <c r="G56" s="3" t="str">
        <f aca="false">+'All Summary'!G53</f>
        <v>(cents/kWh)</v>
      </c>
      <c r="H56" s="5" t="str">
        <f aca="false">+'All Summary'!H53</f>
        <v>Increase %</v>
      </c>
    </row>
    <row r="58" customFormat="false" ht="12.75" hidden="false" customHeight="false" outlineLevel="0" collapsed="false">
      <c r="C58" s="0" t="str">
        <f aca="false">+'All Summary'!A55</f>
        <v>Residential</v>
      </c>
      <c r="D58" s="2" t="n">
        <f aca="false">+'All Summary'!B55</f>
        <v>60024.926315</v>
      </c>
      <c r="E58" s="36" t="n">
        <f aca="false">+'All Summary'!C55</f>
        <v>12.7448248830058</v>
      </c>
      <c r="F58" s="33" t="n">
        <f aca="false">+'All Summary'!E55</f>
        <v>1446.837899</v>
      </c>
      <c r="G58" s="3" t="n">
        <f aca="false">+'All Summary'!G55</f>
        <v>15.1550534127465</v>
      </c>
      <c r="H58" s="5" t="n">
        <f aca="false">+'All Summary'!H55</f>
        <v>0.189127363406185</v>
      </c>
    </row>
    <row r="59" customFormat="false" ht="12.75" hidden="false" customHeight="false" outlineLevel="0" collapsed="false">
      <c r="C59" s="0" t="str">
        <f aca="false">+'All Summary'!A56</f>
        <v>Commercial</v>
      </c>
      <c r="D59" s="2" t="n">
        <f aca="false">+'All Summary'!B56</f>
        <v>64409.065512</v>
      </c>
      <c r="E59" s="36" t="n">
        <f aca="false">+'All Summary'!C56</f>
        <v>11.2661944406693</v>
      </c>
      <c r="F59" s="33" t="n">
        <f aca="false">+'All Summary'!E56</f>
        <v>2692.512666</v>
      </c>
      <c r="G59" s="3" t="n">
        <f aca="false">+'All Summary'!G56</f>
        <v>15.4466815267587</v>
      </c>
      <c r="H59" s="5" t="n">
        <f aca="false">+'All Summary'!H56</f>
        <v>0.371050921449688</v>
      </c>
    </row>
    <row r="60" customFormat="false" ht="12.75" hidden="false" customHeight="false" outlineLevel="0" collapsed="false">
      <c r="C60" s="0" t="str">
        <f aca="false">+'All Summary'!A57</f>
        <v>Agricultural</v>
      </c>
      <c r="D60" s="2" t="n">
        <f aca="false">+'All Summary'!B57</f>
        <v>6666.674203</v>
      </c>
      <c r="E60" s="36" t="n">
        <f aca="false">+'All Summary'!C57</f>
        <v>11.0816111527927</v>
      </c>
      <c r="F60" s="33" t="n">
        <f aca="false">+'All Summary'!E57</f>
        <v>135.98417</v>
      </c>
      <c r="G60" s="3" t="n">
        <f aca="false">+'All Summary'!G57</f>
        <v>13.1213713969457</v>
      </c>
      <c r="H60" s="5" t="n">
        <f aca="false">+'All Summary'!H57</f>
        <v>0.184067119485509</v>
      </c>
    </row>
    <row r="61" customFormat="false" ht="12.75" hidden="false" customHeight="false" outlineLevel="0" collapsed="false">
      <c r="C61" s="0" t="str">
        <f aca="false">+'All Summary'!A58</f>
        <v>Other</v>
      </c>
      <c r="D61" s="2" t="n">
        <f aca="false">+'All Summary'!B58</f>
        <v>1132.958395</v>
      </c>
      <c r="E61" s="36" t="n">
        <f aca="false">+'All Summary'!C58</f>
        <v>13.7456087255525</v>
      </c>
      <c r="F61" s="33" t="n">
        <f aca="false">+'All Summary'!E58</f>
        <v>41.305094</v>
      </c>
      <c r="G61" s="3" t="n">
        <f aca="false">+'All Summary'!G58</f>
        <v>17.391381966855</v>
      </c>
      <c r="H61" s="5" t="n">
        <f aca="false">+'All Summary'!H58</f>
        <v>0.265231850701899</v>
      </c>
    </row>
    <row r="62" customFormat="false" ht="12.75" hidden="false" customHeight="false" outlineLevel="0" collapsed="false">
      <c r="C62" s="0" t="str">
        <f aca="false">+'All Summary'!A59</f>
        <v>Industrial</v>
      </c>
      <c r="D62" s="2" t="n">
        <f aca="false">+'All Summary'!B59</f>
        <v>50742.346502</v>
      </c>
      <c r="E62" s="36" t="n">
        <f aca="false">+'All Summary'!C59</f>
        <v>8.65718499799148</v>
      </c>
      <c r="F62" s="33" t="n">
        <f aca="false">+'All Summary'!E59</f>
        <v>2050.389293</v>
      </c>
      <c r="G62" s="3" t="n">
        <f aca="false">+'All Summary'!G59</f>
        <v>12.698364475017</v>
      </c>
      <c r="H62" s="5" t="n">
        <f aca="false">+'All Summary'!H59</f>
        <v>0.466755109178379</v>
      </c>
    </row>
    <row r="64" customFormat="false" ht="12.75" hidden="false" customHeight="false" outlineLevel="0" collapsed="false">
      <c r="C64" s="0" t="str">
        <f aca="false">+'All Summary'!A61</f>
        <v>Total</v>
      </c>
      <c r="D64" s="2" t="n">
        <f aca="false">+'All Summary'!B61</f>
        <v>182975.970927</v>
      </c>
      <c r="E64" s="36" t="n">
        <f aca="false">+'All Summary'!C61</f>
        <v>11.0363606487196</v>
      </c>
      <c r="F64" s="33" t="n">
        <f aca="false">+'All Summary'!E61</f>
        <v>6367.029122</v>
      </c>
      <c r="G64" s="3" t="n">
        <f aca="false">+'All Summary'!G61</f>
        <v>14.5161777469659</v>
      </c>
      <c r="H64" s="5" t="n">
        <f aca="false">+'All Summary'!H61</f>
        <v>0.31529486078187</v>
      </c>
    </row>
    <row r="66" customFormat="false" ht="12.75" hidden="false" customHeight="false" outlineLevel="0" collapsed="false">
      <c r="C66" s="0" t="s">
        <v>164</v>
      </c>
      <c r="D66" s="2" t="n">
        <f aca="false">+D20+D36+D51</f>
        <v>114000</v>
      </c>
    </row>
  </sheetData>
  <printOptions headings="false" gridLines="false" gridLinesSet="true" horizontalCentered="false" verticalCentered="false"/>
  <pageMargins left="3.22013888888889" right="0.747916666666667" top="0.429861111111111" bottom="0.740277777777778" header="0.511811023622047" footer="0.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N62"/>
  <sheetViews>
    <sheetView showFormulas="false" showGridLines="true" showRowColHeaders="true" showZeros="true" rightToLeft="false" tabSelected="false" showOutlineSymbols="true" defaultGridColor="true" view="normal" topLeftCell="J2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2.42"/>
    <col collapsed="false" customWidth="true" hidden="false" outlineLevel="0" max="5" min="3" style="2" width="13.99"/>
    <col collapsed="false" customWidth="true" hidden="false" outlineLevel="0" max="6" min="6" style="2" width="7.99"/>
    <col collapsed="false" customWidth="true" hidden="false" outlineLevel="0" max="8" min="7" style="2" width="13.99"/>
    <col collapsed="false" customWidth="true" hidden="false" outlineLevel="0" max="9" min="9" style="8" width="13.99"/>
    <col collapsed="false" customWidth="true" hidden="false" outlineLevel="0" max="10" min="10" style="8" width="7.99"/>
    <col collapsed="false" customWidth="true" hidden="false" outlineLevel="0" max="11" min="11" style="38" width="14.41"/>
    <col collapsed="false" customWidth="true" hidden="false" outlineLevel="0" max="12" min="12" style="2" width="15.99"/>
    <col collapsed="false" customWidth="true" hidden="false" outlineLevel="0" max="13" min="13" style="1" width="25.85"/>
    <col collapsed="false" customWidth="true" hidden="false" outlineLevel="0" max="14" min="14" style="0" width="11.99"/>
  </cols>
  <sheetData>
    <row r="3" customFormat="false" ht="12.75" hidden="false" customHeight="false" outlineLevel="0" collapsed="false">
      <c r="D3" s="39" t="s">
        <v>165</v>
      </c>
      <c r="H3" s="39" t="s">
        <v>166</v>
      </c>
      <c r="L3" s="40" t="s">
        <v>167</v>
      </c>
    </row>
    <row r="5" customFormat="false" ht="12.75" hidden="false" customHeight="false" outlineLevel="0" collapsed="false">
      <c r="C5" s="2" t="s">
        <v>168</v>
      </c>
      <c r="D5" s="2" t="s">
        <v>169</v>
      </c>
      <c r="E5" s="2" t="s">
        <v>170</v>
      </c>
      <c r="G5" s="2" t="s">
        <v>168</v>
      </c>
      <c r="H5" s="2" t="s">
        <v>169</v>
      </c>
      <c r="I5" s="2" t="s">
        <v>170</v>
      </c>
      <c r="K5" s="38" t="s">
        <v>171</v>
      </c>
      <c r="L5" s="2" t="s">
        <v>172</v>
      </c>
      <c r="M5" s="1" t="s">
        <v>173</v>
      </c>
    </row>
    <row r="6" customFormat="false" ht="12.75" hidden="false" customHeight="false" outlineLevel="0" collapsed="false">
      <c r="A6" s="1" t="s">
        <v>174</v>
      </c>
      <c r="B6" s="41" t="n">
        <v>2001</v>
      </c>
      <c r="G6" s="2" t="n">
        <v>13308090</v>
      </c>
      <c r="H6" s="2" t="n">
        <v>3798465</v>
      </c>
      <c r="I6" s="2" t="n">
        <f aca="false">+H6/G6*1000</f>
        <v>285.425256366616</v>
      </c>
    </row>
    <row r="7" customFormat="false" ht="12.75" hidden="false" customHeight="false" outlineLevel="0" collapsed="false">
      <c r="A7" s="1" t="s">
        <v>175</v>
      </c>
      <c r="B7" s="41" t="n">
        <v>2001</v>
      </c>
      <c r="C7" s="2" t="n">
        <v>6835030</v>
      </c>
      <c r="D7" s="2" t="n">
        <v>925468</v>
      </c>
      <c r="E7" s="2" t="n">
        <f aca="false">+D7/C7*1000</f>
        <v>135.400722454766</v>
      </c>
      <c r="G7" s="2" t="n">
        <v>10466630</v>
      </c>
      <c r="H7" s="2" t="n">
        <v>3625020</v>
      </c>
      <c r="I7" s="2" t="n">
        <f aca="false">+H7/G7*1000</f>
        <v>346.340703741319</v>
      </c>
      <c r="K7" s="38" t="n">
        <f aca="false">+E7-I7</f>
        <v>-210.939981286553</v>
      </c>
      <c r="L7" s="2" t="n">
        <f aca="false">+(C7*(E7-I7))/1000</f>
        <v>-1441781.10029303</v>
      </c>
      <c r="M7" s="42" t="n">
        <f aca="false">(M6*1.01625)+L7</f>
        <v>-1441781.10029303</v>
      </c>
      <c r="N7" s="43"/>
    </row>
    <row r="8" customFormat="false" ht="12.75" hidden="false" customHeight="false" outlineLevel="0" collapsed="false">
      <c r="A8" s="1" t="s">
        <v>176</v>
      </c>
      <c r="B8" s="41" t="n">
        <v>2001</v>
      </c>
      <c r="C8" s="2" t="n">
        <v>8241181</v>
      </c>
      <c r="D8" s="2" t="n">
        <v>1139357</v>
      </c>
      <c r="E8" s="2" t="n">
        <f aca="false">+D8/C8*1000</f>
        <v>138.251665628992</v>
      </c>
      <c r="G8" s="2" t="n">
        <v>13009708</v>
      </c>
      <c r="H8" s="2" t="n">
        <v>2533473</v>
      </c>
      <c r="I8" s="2" t="n">
        <f aca="false">+H8/G8*1000</f>
        <v>194.737114776135</v>
      </c>
      <c r="K8" s="38" t="n">
        <f aca="false">+E8-I8</f>
        <v>-56.4854491471431</v>
      </c>
      <c r="L8" s="2" t="n">
        <f aca="false">+(C8*(E8-I8))/1000</f>
        <v>-465506.810287902</v>
      </c>
      <c r="M8" s="42" t="n">
        <f aca="false">(M7*1.01625)+L8</f>
        <v>-1930716.85346069</v>
      </c>
    </row>
    <row r="9" customFormat="false" ht="12.75" hidden="false" customHeight="false" outlineLevel="0" collapsed="false">
      <c r="A9" s="1" t="s">
        <v>177</v>
      </c>
      <c r="B9" s="41" t="n">
        <v>2001</v>
      </c>
      <c r="C9" s="2" t="n">
        <v>7583534</v>
      </c>
      <c r="D9" s="2" t="n">
        <v>943585</v>
      </c>
      <c r="E9" s="2" t="n">
        <f aca="false">+D9/C9*1000</f>
        <v>124.425498718671</v>
      </c>
      <c r="G9" s="2" t="n">
        <v>9910986</v>
      </c>
      <c r="H9" s="2" t="n">
        <v>2145508</v>
      </c>
      <c r="I9" s="2" t="n">
        <f aca="false">+H9/G9*1000</f>
        <v>216.477755089151</v>
      </c>
      <c r="K9" s="38" t="n">
        <f aca="false">+E9-I9</f>
        <v>-92.0522563704793</v>
      </c>
      <c r="L9" s="2" t="n">
        <f aca="false">+(C9*(E9-I9))/1000</f>
        <v>-698081.415962246</v>
      </c>
      <c r="M9" s="42" t="n">
        <f aca="false">(M8*1.01625)+L9</f>
        <v>-2660172.41829167</v>
      </c>
    </row>
    <row r="10" customFormat="false" ht="12.75" hidden="false" customHeight="false" outlineLevel="0" collapsed="false">
      <c r="A10" s="1" t="s">
        <v>174</v>
      </c>
      <c r="B10" s="41" t="n">
        <f aca="false">+B6+1</f>
        <v>2002</v>
      </c>
      <c r="C10" s="2" t="n">
        <v>8874797</v>
      </c>
      <c r="D10" s="2" t="n">
        <v>887776</v>
      </c>
      <c r="E10" s="2" t="n">
        <f aca="false">+D10/C10*1000</f>
        <v>100.033386679154</v>
      </c>
      <c r="G10" s="2" t="n">
        <v>4732711</v>
      </c>
      <c r="H10" s="2" t="n">
        <v>948103</v>
      </c>
      <c r="I10" s="2" t="n">
        <f aca="false">+H10/G10*1000</f>
        <v>200.32978983927</v>
      </c>
      <c r="K10" s="38" t="n">
        <f aca="false">+E10-I10</f>
        <v>-100.296403160115</v>
      </c>
      <c r="L10" s="2" t="n">
        <f aca="false">+(C10*(E10-I10))/1000</f>
        <v>-890110.217876181</v>
      </c>
      <c r="M10" s="42" t="n">
        <f aca="false">(M9*1.01625)+L10</f>
        <v>-3593510.43796509</v>
      </c>
    </row>
    <row r="11" customFormat="false" ht="12.75" hidden="false" customHeight="false" outlineLevel="0" collapsed="false">
      <c r="A11" s="1" t="s">
        <v>175</v>
      </c>
      <c r="B11" s="41" t="n">
        <f aca="false">+B7+1</f>
        <v>2002</v>
      </c>
      <c r="C11" s="2" t="n">
        <v>9736927</v>
      </c>
      <c r="D11" s="2" t="n">
        <v>1036213</v>
      </c>
      <c r="E11" s="2" t="n">
        <f aca="false">+D11/C11*1000</f>
        <v>106.420947800061</v>
      </c>
      <c r="G11" s="2" t="n">
        <v>5341672</v>
      </c>
      <c r="H11" s="2" t="n">
        <v>885326</v>
      </c>
      <c r="I11" s="2" t="n">
        <f aca="false">+H11/G11*1000</f>
        <v>165.739491305344</v>
      </c>
      <c r="K11" s="38" t="n">
        <f aca="false">+E11-I11</f>
        <v>-59.3185435052836</v>
      </c>
      <c r="L11" s="2" t="n">
        <f aca="false">+(C11*(E11-I11))/1000</f>
        <v>-577580.32785727</v>
      </c>
      <c r="M11" s="42" t="n">
        <f aca="false">(M10*1.01625)+L11</f>
        <v>-4229485.3104393</v>
      </c>
    </row>
    <row r="12" customFormat="false" ht="12.75" hidden="false" customHeight="false" outlineLevel="0" collapsed="false">
      <c r="A12" s="1" t="s">
        <v>176</v>
      </c>
      <c r="B12" s="41" t="n">
        <f aca="false">+B8+1</f>
        <v>2002</v>
      </c>
      <c r="C12" s="2" t="n">
        <v>12465863</v>
      </c>
      <c r="D12" s="2" t="n">
        <v>1399825</v>
      </c>
      <c r="E12" s="2" t="n">
        <f aca="false">+D12/C12*1000</f>
        <v>112.292666781273</v>
      </c>
      <c r="G12" s="2" t="n">
        <v>9081049</v>
      </c>
      <c r="H12" s="2" t="n">
        <v>1423856</v>
      </c>
      <c r="I12" s="2" t="n">
        <f aca="false">+H12/G12*1000</f>
        <v>156.794220579583</v>
      </c>
      <c r="K12" s="38" t="n">
        <f aca="false">+E12-I12</f>
        <v>-44.5015537983098</v>
      </c>
      <c r="L12" s="2" t="n">
        <f aca="false">+(C12*(E12-I12))/1000</f>
        <v>-554750.27293686</v>
      </c>
      <c r="M12" s="42" t="n">
        <f aca="false">(M11*1.01625)+L12</f>
        <v>-4852964.7196708</v>
      </c>
    </row>
    <row r="13" customFormat="false" ht="12.75" hidden="false" customHeight="false" outlineLevel="0" collapsed="false">
      <c r="A13" s="1" t="s">
        <v>177</v>
      </c>
      <c r="B13" s="41" t="n">
        <f aca="false">+B9+1</f>
        <v>2002</v>
      </c>
      <c r="C13" s="2" t="n">
        <v>11409290</v>
      </c>
      <c r="D13" s="2" t="n">
        <v>1059733</v>
      </c>
      <c r="E13" s="2" t="n">
        <f aca="false">+D13/C13*1000</f>
        <v>92.8833433105829</v>
      </c>
      <c r="G13" s="2" t="n">
        <v>6853444</v>
      </c>
      <c r="H13" s="2" t="n">
        <v>1153909</v>
      </c>
      <c r="I13" s="2" t="n">
        <f aca="false">+H13/G13*1000</f>
        <v>168.369216995134</v>
      </c>
      <c r="K13" s="38" t="n">
        <f aca="false">+E13-I13</f>
        <v>-75.4858736845513</v>
      </c>
      <c r="L13" s="2" t="n">
        <f aca="false">+(C13*(E13-I13))/1000</f>
        <v>-861240.223770414</v>
      </c>
      <c r="M13" s="42" t="n">
        <f aca="false">(M12*1.01625)+L13</f>
        <v>-5793065.62013586</v>
      </c>
    </row>
    <row r="14" customFormat="false" ht="12.75" hidden="false" customHeight="false" outlineLevel="0" collapsed="false">
      <c r="A14" s="1" t="s">
        <v>174</v>
      </c>
      <c r="B14" s="41" t="n">
        <f aca="false">+B10+1</f>
        <v>2003</v>
      </c>
      <c r="C14" s="2" t="n">
        <v>12528689</v>
      </c>
      <c r="D14" s="2" t="n">
        <v>1085230</v>
      </c>
      <c r="E14" s="2" t="n">
        <f aca="false">+D14/C14*1000</f>
        <v>86.6195976290895</v>
      </c>
      <c r="G14" s="2" t="n">
        <v>3497698</v>
      </c>
      <c r="H14" s="2" t="n">
        <v>479487</v>
      </c>
      <c r="I14" s="2" t="n">
        <f aca="false">+H14/G14*1000</f>
        <v>137.086449430454</v>
      </c>
      <c r="K14" s="38" t="n">
        <f aca="false">+E14-I14</f>
        <v>-50.4668518013644</v>
      </c>
      <c r="L14" s="2" t="n">
        <f aca="false">+(C14*(E14-I14))/1000</f>
        <v>-632283.491028385</v>
      </c>
      <c r="M14" s="42" t="n">
        <f aca="false">(M13*1.01625)+L14</f>
        <v>-6519486.42749145</v>
      </c>
    </row>
    <row r="15" customFormat="false" ht="12.75" hidden="false" customHeight="false" outlineLevel="0" collapsed="false">
      <c r="A15" s="1" t="s">
        <v>175</v>
      </c>
      <c r="B15" s="41" t="n">
        <f aca="false">+B11+1</f>
        <v>2003</v>
      </c>
      <c r="C15" s="2" t="n">
        <v>13882979</v>
      </c>
      <c r="D15" s="2" t="n">
        <v>1211480</v>
      </c>
      <c r="E15" s="2" t="n">
        <f aca="false">+D15/C15*1000</f>
        <v>87.2636917480031</v>
      </c>
      <c r="G15" s="2" t="n">
        <v>2669802</v>
      </c>
      <c r="H15" s="2" t="n">
        <v>313163</v>
      </c>
      <c r="I15" s="2" t="n">
        <f aca="false">+H15/G15*1000</f>
        <v>117.298211627679</v>
      </c>
      <c r="K15" s="38" t="n">
        <f aca="false">+E15-I15</f>
        <v>-30.0345198796757</v>
      </c>
      <c r="L15" s="2" t="n">
        <f aca="false">+(C15*(E15-I15))/1000</f>
        <v>-416968.60876462</v>
      </c>
      <c r="M15" s="42" t="n">
        <f aca="false">(M14*1.01625)+L15</f>
        <v>-7042396.69070281</v>
      </c>
    </row>
    <row r="16" customFormat="false" ht="12.75" hidden="false" customHeight="false" outlineLevel="0" collapsed="false">
      <c r="A16" s="1" t="s">
        <v>176</v>
      </c>
      <c r="B16" s="41" t="n">
        <f aca="false">+B12+1</f>
        <v>2003</v>
      </c>
      <c r="C16" s="2" t="n">
        <v>18336722</v>
      </c>
      <c r="D16" s="2" t="n">
        <v>1681729</v>
      </c>
      <c r="E16" s="2" t="n">
        <f aca="false">+D16/C16*1000</f>
        <v>91.7137206966436</v>
      </c>
      <c r="G16" s="2" t="n">
        <v>5748729</v>
      </c>
      <c r="H16" s="2" t="n">
        <v>689927</v>
      </c>
      <c r="I16" s="2" t="n">
        <f aca="false">+H16/G16*1000</f>
        <v>120.013832622828</v>
      </c>
      <c r="K16" s="38" t="n">
        <f aca="false">+E16-I16</f>
        <v>-28.3001119261849</v>
      </c>
      <c r="L16" s="2" t="n">
        <f aca="false">+(C16*(E16-I16))/1000</f>
        <v>-518931.284959336</v>
      </c>
      <c r="M16" s="42" t="n">
        <f aca="false">(M15*1.01625)+L16</f>
        <v>-7675766.92188607</v>
      </c>
    </row>
    <row r="17" customFormat="false" ht="12.75" hidden="false" customHeight="false" outlineLevel="0" collapsed="false">
      <c r="A17" s="1" t="s">
        <v>177</v>
      </c>
      <c r="B17" s="41" t="n">
        <f aca="false">+B13+1</f>
        <v>2003</v>
      </c>
      <c r="C17" s="2" t="n">
        <v>19737558</v>
      </c>
      <c r="D17" s="2" t="n">
        <v>1593041</v>
      </c>
      <c r="E17" s="2" t="n">
        <f aca="false">+D17/C17*1000</f>
        <v>80.7111497785086</v>
      </c>
      <c r="G17" s="2" t="n">
        <v>2574043</v>
      </c>
      <c r="H17" s="2" t="n">
        <v>264705</v>
      </c>
      <c r="I17" s="2" t="n">
        <f aca="false">+H17/G17*1000</f>
        <v>102.836277404845</v>
      </c>
      <c r="K17" s="38" t="n">
        <f aca="false">+E17-I17</f>
        <v>-22.1251276263367</v>
      </c>
      <c r="L17" s="2" t="n">
        <f aca="false">+(C17*(E17-I17))/1000</f>
        <v>-436695.989782222</v>
      </c>
      <c r="M17" s="42" t="n">
        <f aca="false">(M16*1.01625)+L17</f>
        <v>-8237194.12414894</v>
      </c>
    </row>
    <row r="18" customFormat="false" ht="12.75" hidden="false" customHeight="false" outlineLevel="0" collapsed="false">
      <c r="A18" s="1" t="s">
        <v>174</v>
      </c>
      <c r="B18" s="41" t="n">
        <f aca="false">+B14+1</f>
        <v>2004</v>
      </c>
      <c r="C18" s="2" t="n">
        <v>21398531</v>
      </c>
      <c r="D18" s="2" t="n">
        <v>1635107</v>
      </c>
      <c r="E18" s="2" t="n">
        <f aca="false">+D18/C18*1000</f>
        <v>76.4121144577635</v>
      </c>
      <c r="G18" s="2" t="n">
        <v>245274</v>
      </c>
      <c r="H18" s="2" t="n">
        <v>22338</v>
      </c>
      <c r="I18" s="2" t="n">
        <f aca="false">+H18/G18*1000</f>
        <v>91.0736564005969</v>
      </c>
      <c r="K18" s="38" t="n">
        <f aca="false">+E18-I18</f>
        <v>-14.6615419428334</v>
      </c>
      <c r="L18" s="2" t="n">
        <f aca="false">+(C18*(E18-I18))/1000</f>
        <v>-313735.459771521</v>
      </c>
      <c r="M18" s="42" t="n">
        <f aca="false">(M17*1.01625)+L18</f>
        <v>-8684783.98843788</v>
      </c>
    </row>
    <row r="19" customFormat="false" ht="12.75" hidden="false" customHeight="false" outlineLevel="0" collapsed="false">
      <c r="A19" s="1" t="s">
        <v>175</v>
      </c>
      <c r="B19" s="41" t="n">
        <f aca="false">+B15+1</f>
        <v>2004</v>
      </c>
      <c r="C19" s="2" t="n">
        <v>20019949</v>
      </c>
      <c r="D19" s="2" t="n">
        <v>1535004</v>
      </c>
      <c r="E19" s="2" t="n">
        <f aca="false">+D19/C19*1000</f>
        <v>76.6737217961944</v>
      </c>
      <c r="G19" s="2" t="n">
        <v>841694</v>
      </c>
      <c r="H19" s="2" t="n">
        <v>76644</v>
      </c>
      <c r="I19" s="2" t="n">
        <f aca="false">+H19/G19*1000</f>
        <v>91.0592210470789</v>
      </c>
      <c r="K19" s="38" t="n">
        <f aca="false">+E19-I19</f>
        <v>-14.3854992508845</v>
      </c>
      <c r="L19" s="2" t="n">
        <f aca="false">+(C19*(E19-I19))/1000</f>
        <v>-287996.961342245</v>
      </c>
      <c r="M19" s="42" t="n">
        <f aca="false">(M18*1.01625)+L19</f>
        <v>-9113908.68959224</v>
      </c>
    </row>
    <row r="20" customFormat="false" ht="12.75" hidden="false" customHeight="false" outlineLevel="0" collapsed="false">
      <c r="A20" s="1" t="s">
        <v>176</v>
      </c>
      <c r="B20" s="41" t="n">
        <f aca="false">+B16+1</f>
        <v>2004</v>
      </c>
      <c r="C20" s="2" t="n">
        <v>21412396</v>
      </c>
      <c r="D20" s="2" t="n">
        <v>1732516</v>
      </c>
      <c r="E20" s="2" t="n">
        <f aca="false">+D20/C20*1000</f>
        <v>80.911823226135</v>
      </c>
      <c r="G20" s="2" t="n">
        <v>4951489</v>
      </c>
      <c r="H20" s="2" t="n">
        <v>421892</v>
      </c>
      <c r="I20" s="2" t="n">
        <f aca="false">+H20/G20*1000</f>
        <v>85.2050766951113</v>
      </c>
      <c r="K20" s="38" t="n">
        <f aca="false">+E20-I20</f>
        <v>-4.2932534689763</v>
      </c>
      <c r="L20" s="2" t="n">
        <f aca="false">+(C20*(E20-I20))/1000</f>
        <v>-91928.8434060943</v>
      </c>
      <c r="M20" s="42" t="n">
        <f aca="false">(M19*1.01625)+L20</f>
        <v>-9353938.54920421</v>
      </c>
    </row>
    <row r="21" customFormat="false" ht="12.75" hidden="false" customHeight="false" outlineLevel="0" collapsed="false">
      <c r="A21" s="1" t="s">
        <v>177</v>
      </c>
      <c r="B21" s="41" t="n">
        <f aca="false">+B17+1</f>
        <v>2004</v>
      </c>
      <c r="C21" s="2" t="n">
        <v>23182863</v>
      </c>
      <c r="D21" s="2" t="n">
        <v>1704610</v>
      </c>
      <c r="E21" s="2" t="n">
        <f aca="false">+D21/C21*1000</f>
        <v>73.5288820884634</v>
      </c>
      <c r="G21" s="2" t="n">
        <v>1476640</v>
      </c>
      <c r="H21" s="2" t="n">
        <v>98683</v>
      </c>
      <c r="I21" s="2" t="n">
        <f aca="false">+H21/G21*1000</f>
        <v>66.8294235561816</v>
      </c>
      <c r="K21" s="38" t="n">
        <f aca="false">+E21-I21</f>
        <v>6.69945853228177</v>
      </c>
      <c r="L21" s="2" t="n">
        <f aca="false">+(C21*(E21-I21))/1000</f>
        <v>155312.629328069</v>
      </c>
      <c r="M21" s="42" t="n">
        <f aca="false">(M20*1.01625)+L21</f>
        <v>-9350627.42130071</v>
      </c>
    </row>
    <row r="22" customFormat="false" ht="12.75" hidden="false" customHeight="false" outlineLevel="0" collapsed="false">
      <c r="A22" s="1" t="s">
        <v>174</v>
      </c>
      <c r="B22" s="41" t="n">
        <f aca="false">+B18+1</f>
        <v>2005</v>
      </c>
      <c r="C22" s="2" t="n">
        <v>20750188</v>
      </c>
      <c r="D22" s="2" t="n">
        <v>1376546</v>
      </c>
      <c r="E22" s="2" t="n">
        <f aca="false">+D22/C22*1000</f>
        <v>66.3389652180501</v>
      </c>
      <c r="G22" s="2" t="n">
        <v>384980</v>
      </c>
      <c r="H22" s="2" t="n">
        <v>30962</v>
      </c>
      <c r="I22" s="2" t="n">
        <f aca="false">+H22/G22*1000</f>
        <v>80.4249571406307</v>
      </c>
      <c r="K22" s="38" t="n">
        <f aca="false">+E22-I22</f>
        <v>-14.0859919225806</v>
      </c>
      <c r="L22" s="2" t="n">
        <f aca="false">+(C22*(E22-I22))/1000</f>
        <v>-292286.980560029</v>
      </c>
      <c r="M22" s="42" t="n">
        <f aca="false">(M21*1.01625)+L22</f>
        <v>-9794862.09745688</v>
      </c>
    </row>
    <row r="23" customFormat="false" ht="12.75" hidden="false" customHeight="false" outlineLevel="0" collapsed="false">
      <c r="A23" s="1" t="s">
        <v>175</v>
      </c>
      <c r="B23" s="41" t="n">
        <f aca="false">+B19+1</f>
        <v>2005</v>
      </c>
      <c r="C23" s="2" t="n">
        <v>19542403</v>
      </c>
      <c r="D23" s="2" t="n">
        <v>1318901</v>
      </c>
      <c r="E23" s="2" t="n">
        <f aca="false">+D23/C23*1000</f>
        <v>67.4891926033866</v>
      </c>
      <c r="G23" s="2" t="n">
        <v>924755</v>
      </c>
      <c r="H23" s="2" t="n">
        <v>72706</v>
      </c>
      <c r="I23" s="2" t="n">
        <f aca="false">+H23/G23*1000</f>
        <v>78.6219052613936</v>
      </c>
      <c r="K23" s="38" t="n">
        <f aca="false">+E23-I23</f>
        <v>-11.132712658007</v>
      </c>
      <c r="L23" s="2" t="n">
        <f aca="false">+(C23*(E23-I23))/1000</f>
        <v>-217559.957245973</v>
      </c>
      <c r="M23" s="42" t="n">
        <f aca="false">(M22*1.01625)+L23</f>
        <v>-10171588.5637865</v>
      </c>
    </row>
    <row r="24" customFormat="false" ht="12.75" hidden="false" customHeight="false" outlineLevel="0" collapsed="false">
      <c r="A24" s="1" t="s">
        <v>176</v>
      </c>
      <c r="B24" s="41" t="n">
        <f aca="false">+B20+1</f>
        <v>2005</v>
      </c>
      <c r="C24" s="2" t="n">
        <v>20486838</v>
      </c>
      <c r="D24" s="2" t="n">
        <v>1509107</v>
      </c>
      <c r="E24" s="2" t="n">
        <f aca="false">+D24/C24*1000</f>
        <v>73.6622703806219</v>
      </c>
      <c r="G24" s="2" t="n">
        <v>6592204</v>
      </c>
      <c r="H24" s="2" t="n">
        <v>465873</v>
      </c>
      <c r="I24" s="2" t="n">
        <f aca="false">+H24/G24*1000</f>
        <v>70.6702947906345</v>
      </c>
      <c r="K24" s="38" t="n">
        <f aca="false">+E24-I24</f>
        <v>2.99197558998742</v>
      </c>
      <c r="L24" s="2" t="n">
        <f aca="false">+(C24*(E24-I24))/1000</f>
        <v>61296.1192120267</v>
      </c>
      <c r="M24" s="42" t="n">
        <f aca="false">(M23*1.01625)+L24</f>
        <v>-10275580.758736</v>
      </c>
    </row>
    <row r="25" customFormat="false" ht="12.75" hidden="false" customHeight="false" outlineLevel="0" collapsed="false">
      <c r="A25" s="1" t="s">
        <v>177</v>
      </c>
      <c r="B25" s="41" t="n">
        <f aca="false">+B21+1</f>
        <v>2005</v>
      </c>
      <c r="C25" s="2" t="n">
        <v>21060134</v>
      </c>
      <c r="D25" s="2" t="n">
        <v>1371723</v>
      </c>
      <c r="E25" s="2" t="n">
        <f aca="false">+D25/C25*1000</f>
        <v>65.133631153534</v>
      </c>
      <c r="G25" s="2" t="n">
        <v>3624725</v>
      </c>
      <c r="H25" s="2" t="n">
        <v>245600</v>
      </c>
      <c r="I25" s="2" t="n">
        <f aca="false">+H25/G25*1000</f>
        <v>67.7568643138445</v>
      </c>
      <c r="K25" s="38" t="n">
        <f aca="false">+E25-I25</f>
        <v>-2.62323316031052</v>
      </c>
      <c r="L25" s="2" t="n">
        <f aca="false">+(C25*(E25-I25))/1000</f>
        <v>-55245.641869383</v>
      </c>
      <c r="M25" s="42" t="n">
        <f aca="false">(M24*1.01625)+L25</f>
        <v>-10497804.5879349</v>
      </c>
    </row>
    <row r="26" customFormat="false" ht="12.75" hidden="false" customHeight="false" outlineLevel="0" collapsed="false">
      <c r="A26" s="1" t="s">
        <v>174</v>
      </c>
      <c r="B26" s="41" t="n">
        <f aca="false">+B22+1</f>
        <v>2006</v>
      </c>
      <c r="C26" s="2" t="n">
        <v>21151029</v>
      </c>
      <c r="D26" s="2" t="n">
        <v>1251999</v>
      </c>
      <c r="E26" s="2" t="n">
        <f aca="false">+D26/C26*1000</f>
        <v>59.1932903122586</v>
      </c>
      <c r="G26" s="2" t="n">
        <v>798000</v>
      </c>
      <c r="H26" s="2" t="n">
        <v>65676</v>
      </c>
      <c r="I26" s="2" t="n">
        <f aca="false">+H26/G26*1000</f>
        <v>82.3007518796993</v>
      </c>
      <c r="K26" s="38" t="n">
        <f aca="false">+E26-I26</f>
        <v>-23.1074615674407</v>
      </c>
      <c r="L26" s="2" t="n">
        <f aca="false">+(C26*(E26-I26))/1000</f>
        <v>-488746.589729323</v>
      </c>
      <c r="M26" s="42" t="n">
        <f aca="false">(M25*1.01625)+L26</f>
        <v>-11157140.5022181</v>
      </c>
    </row>
    <row r="27" customFormat="false" ht="12.75" hidden="false" customHeight="false" outlineLevel="0" collapsed="false">
      <c r="A27" s="1" t="s">
        <v>175</v>
      </c>
      <c r="B27" s="41" t="n">
        <f aca="false">+B23+1</f>
        <v>2006</v>
      </c>
      <c r="C27" s="2" t="n">
        <v>19575129</v>
      </c>
      <c r="D27" s="2" t="n">
        <v>1174242</v>
      </c>
      <c r="E27" s="2" t="n">
        <f aca="false">+D27/C27*1000</f>
        <v>59.9864246105351</v>
      </c>
      <c r="G27" s="2" t="n">
        <v>1915266</v>
      </c>
      <c r="H27" s="2" t="n">
        <v>150629</v>
      </c>
      <c r="I27" s="2" t="n">
        <f aca="false">+H27/G27*1000</f>
        <v>78.6465169851081</v>
      </c>
      <c r="K27" s="38" t="n">
        <f aca="false">+E27-I27</f>
        <v>-18.6600923745729</v>
      </c>
      <c r="L27" s="2" t="n">
        <f aca="false">+(C27*(E27-I27))/1000</f>
        <v>-365273.715384182</v>
      </c>
      <c r="M27" s="42" t="n">
        <f aca="false">(M26*1.01625)+L27</f>
        <v>-11703717.7507634</v>
      </c>
    </row>
    <row r="28" customFormat="false" ht="12.75" hidden="false" customHeight="false" outlineLevel="0" collapsed="false">
      <c r="A28" s="1" t="s">
        <v>176</v>
      </c>
      <c r="B28" s="41" t="n">
        <f aca="false">+B24+1</f>
        <v>2006</v>
      </c>
      <c r="C28" s="2" t="n">
        <v>19753086</v>
      </c>
      <c r="D28" s="2" t="n">
        <v>1322665</v>
      </c>
      <c r="E28" s="2" t="n">
        <f aca="false">+D28/C28*1000</f>
        <v>66.9599170478982</v>
      </c>
      <c r="G28" s="2" t="n">
        <v>8560415</v>
      </c>
      <c r="H28" s="2" t="n">
        <v>609070</v>
      </c>
      <c r="I28" s="2" t="n">
        <f aca="false">+H28/G28*1000</f>
        <v>71.1495879580605</v>
      </c>
      <c r="K28" s="38" t="n">
        <f aca="false">+E28-I28</f>
        <v>-4.18967091016222</v>
      </c>
      <c r="L28" s="2" t="n">
        <f aca="false">+(C28*(E28-I28))/1000</f>
        <v>-82758.9298001326</v>
      </c>
      <c r="M28" s="42" t="n">
        <f aca="false">(M27*1.01625)+L28</f>
        <v>-11976662.0940134</v>
      </c>
    </row>
    <row r="29" customFormat="false" ht="12.75" hidden="false" customHeight="false" outlineLevel="0" collapsed="false">
      <c r="A29" s="1" t="s">
        <v>177</v>
      </c>
      <c r="B29" s="41" t="n">
        <f aca="false">+B25+1</f>
        <v>2006</v>
      </c>
      <c r="C29" s="2" t="n">
        <v>19795707</v>
      </c>
      <c r="D29" s="2" t="n">
        <v>1176044</v>
      </c>
      <c r="E29" s="2" t="n">
        <f aca="false">+D29/C29*1000</f>
        <v>59.4090425767567</v>
      </c>
      <c r="I29" s="2" t="e">
        <f aca="false">+H29/G29*1000</f>
        <v>#DIV/0!</v>
      </c>
      <c r="K29" s="38" t="e">
        <f aca="false">+E29-I29</f>
        <v>#DIV/0!</v>
      </c>
      <c r="L29" s="2" t="e">
        <f aca="false">+(C29*(E29-I29))/1000</f>
        <v>#DIV/0!</v>
      </c>
      <c r="M29" s="42" t="e">
        <f aca="false">(M28*1.01625)+L29</f>
        <v>#DIV/0!</v>
      </c>
    </row>
    <row r="30" customFormat="false" ht="12.75" hidden="false" customHeight="false" outlineLevel="0" collapsed="false">
      <c r="A30" s="1" t="s">
        <v>174</v>
      </c>
      <c r="B30" s="41" t="n">
        <f aca="false">+B26+1</f>
        <v>2007</v>
      </c>
      <c r="C30" s="2" t="n">
        <v>19395819</v>
      </c>
      <c r="D30" s="2" t="n">
        <v>1127605</v>
      </c>
      <c r="E30" s="2" t="n">
        <f aca="false">+D30/C30*1000</f>
        <v>58.1364983865853</v>
      </c>
      <c r="I30" s="2" t="e">
        <f aca="false">+H30/G30*1000</f>
        <v>#DIV/0!</v>
      </c>
      <c r="K30" s="38" t="e">
        <f aca="false">+E30-I30</f>
        <v>#DIV/0!</v>
      </c>
      <c r="L30" s="2" t="e">
        <f aca="false">+(C30*(E30-I30))/1000</f>
        <v>#DIV/0!</v>
      </c>
      <c r="M30" s="42" t="e">
        <f aca="false">(M29*1.01625)+L30</f>
        <v>#DIV/0!</v>
      </c>
    </row>
    <row r="31" customFormat="false" ht="12.75" hidden="false" customHeight="false" outlineLevel="0" collapsed="false">
      <c r="A31" s="1" t="s">
        <v>175</v>
      </c>
      <c r="B31" s="41" t="n">
        <f aca="false">+B27+1</f>
        <v>2007</v>
      </c>
      <c r="C31" s="2" t="n">
        <v>18428604</v>
      </c>
      <c r="D31" s="2" t="n">
        <v>1104039</v>
      </c>
      <c r="E31" s="2" t="n">
        <f aca="false">+D31/C31*1000</f>
        <v>59.9089871376041</v>
      </c>
      <c r="I31" s="2" t="e">
        <f aca="false">+H31/G31*1000</f>
        <v>#DIV/0!</v>
      </c>
      <c r="K31" s="38" t="e">
        <f aca="false">+E31-I31</f>
        <v>#DIV/0!</v>
      </c>
      <c r="L31" s="2" t="e">
        <f aca="false">+(C31*(E31-I31))/1000</f>
        <v>#DIV/0!</v>
      </c>
      <c r="M31" s="42" t="e">
        <f aca="false">(M30*1.01625)+L31</f>
        <v>#DIV/0!</v>
      </c>
    </row>
    <row r="32" customFormat="false" ht="12.75" hidden="false" customHeight="false" outlineLevel="0" collapsed="false">
      <c r="A32" s="1" t="s">
        <v>176</v>
      </c>
      <c r="B32" s="41" t="n">
        <f aca="false">+B28+1</f>
        <v>2007</v>
      </c>
      <c r="C32" s="2" t="n">
        <v>19684263</v>
      </c>
      <c r="D32" s="2" t="n">
        <v>1319151</v>
      </c>
      <c r="E32" s="2" t="n">
        <f aca="false">+D32/C32*1000</f>
        <v>67.0155138650606</v>
      </c>
      <c r="I32" s="2" t="e">
        <f aca="false">+H32/G32*1000</f>
        <v>#DIV/0!</v>
      </c>
      <c r="K32" s="38" t="e">
        <f aca="false">+E32-I32</f>
        <v>#DIV/0!</v>
      </c>
      <c r="L32" s="2" t="e">
        <f aca="false">+(C32*(E32-I32))/1000</f>
        <v>#DIV/0!</v>
      </c>
      <c r="M32" s="42" t="e">
        <f aca="false">(M31*1.01625)+L32</f>
        <v>#DIV/0!</v>
      </c>
    </row>
    <row r="33" customFormat="false" ht="12.75" hidden="false" customHeight="false" outlineLevel="0" collapsed="false">
      <c r="A33" s="1" t="s">
        <v>177</v>
      </c>
      <c r="B33" s="41" t="n">
        <f aca="false">+B29+1</f>
        <v>2007</v>
      </c>
      <c r="C33" s="2" t="n">
        <v>19591520</v>
      </c>
      <c r="D33" s="2" t="n">
        <v>1165055</v>
      </c>
      <c r="E33" s="2" t="n">
        <f aca="false">+D33/C33*1000</f>
        <v>59.4673103465173</v>
      </c>
      <c r="I33" s="2" t="e">
        <f aca="false">+H33/G33*1000</f>
        <v>#DIV/0!</v>
      </c>
      <c r="K33" s="38" t="e">
        <f aca="false">+E33-I33</f>
        <v>#DIV/0!</v>
      </c>
      <c r="L33" s="2" t="e">
        <f aca="false">+(C33*(E33-I33))/1000</f>
        <v>#DIV/0!</v>
      </c>
      <c r="M33" s="42" t="e">
        <f aca="false">(M32*1.01625)+L33</f>
        <v>#DIV/0!</v>
      </c>
    </row>
    <row r="34" customFormat="false" ht="12.75" hidden="false" customHeight="false" outlineLevel="0" collapsed="false">
      <c r="A34" s="1" t="s">
        <v>174</v>
      </c>
      <c r="B34" s="41" t="n">
        <f aca="false">+B30+1</f>
        <v>2008</v>
      </c>
      <c r="C34" s="2" t="n">
        <v>19153515</v>
      </c>
      <c r="D34" s="2" t="n">
        <v>1112997</v>
      </c>
      <c r="E34" s="2" t="n">
        <f aca="false">+D34/C34*1000</f>
        <v>58.1092817689077</v>
      </c>
      <c r="I34" s="2" t="e">
        <f aca="false">+H34/G34*1000</f>
        <v>#DIV/0!</v>
      </c>
      <c r="K34" s="38" t="e">
        <f aca="false">+E34-I34</f>
        <v>#DIV/0!</v>
      </c>
      <c r="L34" s="2" t="e">
        <f aca="false">+(C34*(E34-I34))/1000</f>
        <v>#DIV/0!</v>
      </c>
      <c r="M34" s="42" t="e">
        <f aca="false">(M33*1.01625)+L34</f>
        <v>#DIV/0!</v>
      </c>
    </row>
    <row r="35" customFormat="false" ht="12.75" hidden="false" customHeight="false" outlineLevel="0" collapsed="false">
      <c r="A35" s="1" t="s">
        <v>175</v>
      </c>
      <c r="B35" s="41" t="n">
        <f aca="false">+B31+1</f>
        <v>2008</v>
      </c>
      <c r="C35" s="2" t="n">
        <v>18763391</v>
      </c>
      <c r="D35" s="2" t="n">
        <v>1121144</v>
      </c>
      <c r="E35" s="2" t="n">
        <f aca="false">+D35/C35*1000</f>
        <v>59.7516728186286</v>
      </c>
      <c r="I35" s="2" t="e">
        <f aca="false">+H35/G35*1000</f>
        <v>#DIV/0!</v>
      </c>
      <c r="K35" s="38" t="e">
        <f aca="false">+E35-I35</f>
        <v>#DIV/0!</v>
      </c>
      <c r="L35" s="2" t="e">
        <f aca="false">+(C35*(E35-I35))/1000</f>
        <v>#DIV/0!</v>
      </c>
      <c r="M35" s="42" t="e">
        <f aca="false">(M34*1.01625)+L35</f>
        <v>#DIV/0!</v>
      </c>
    </row>
    <row r="36" customFormat="false" ht="12.75" hidden="false" customHeight="false" outlineLevel="0" collapsed="false">
      <c r="A36" s="1" t="s">
        <v>176</v>
      </c>
      <c r="B36" s="41" t="n">
        <f aca="false">+B32+1</f>
        <v>2008</v>
      </c>
      <c r="C36" s="2" t="n">
        <v>19294144</v>
      </c>
      <c r="D36" s="2" t="n">
        <v>1288971</v>
      </c>
      <c r="E36" s="2" t="n">
        <f aca="false">+D36/C36*1000</f>
        <v>66.8063325328141</v>
      </c>
      <c r="I36" s="2" t="e">
        <f aca="false">+H36/G36*1000</f>
        <v>#DIV/0!</v>
      </c>
      <c r="K36" s="38" t="e">
        <f aca="false">+E36-I36</f>
        <v>#DIV/0!</v>
      </c>
      <c r="L36" s="2" t="e">
        <f aca="false">+(C36*(E36-I36))/1000</f>
        <v>#DIV/0!</v>
      </c>
      <c r="M36" s="42" t="e">
        <f aca="false">(M35*1.01625)+L36</f>
        <v>#DIV/0!</v>
      </c>
    </row>
    <row r="37" customFormat="false" ht="12.75" hidden="false" customHeight="false" outlineLevel="0" collapsed="false">
      <c r="A37" s="1" t="s">
        <v>177</v>
      </c>
      <c r="B37" s="41" t="n">
        <f aca="false">+B33+1</f>
        <v>2008</v>
      </c>
      <c r="C37" s="2" t="n">
        <v>18854006</v>
      </c>
      <c r="D37" s="2" t="n">
        <v>1103942</v>
      </c>
      <c r="E37" s="2" t="n">
        <f aca="false">+D37/C37*1000</f>
        <v>58.5521188441332</v>
      </c>
      <c r="I37" s="2" t="e">
        <f aca="false">+H37/G37*1000</f>
        <v>#DIV/0!</v>
      </c>
      <c r="K37" s="38" t="e">
        <f aca="false">+E37-I37</f>
        <v>#DIV/0!</v>
      </c>
      <c r="L37" s="2" t="e">
        <f aca="false">+(C37*(E37-I37))/1000</f>
        <v>#DIV/0!</v>
      </c>
      <c r="M37" s="42" t="e">
        <f aca="false">(M36*1.01625)+L37</f>
        <v>#DIV/0!</v>
      </c>
    </row>
    <row r="38" customFormat="false" ht="12.75" hidden="false" customHeight="false" outlineLevel="0" collapsed="false">
      <c r="A38" s="1" t="s">
        <v>174</v>
      </c>
      <c r="B38" s="41" t="n">
        <f aca="false">+B34+1</f>
        <v>2009</v>
      </c>
      <c r="C38" s="2" t="n">
        <v>18797465</v>
      </c>
      <c r="D38" s="2" t="n">
        <v>1091076</v>
      </c>
      <c r="E38" s="2" t="n">
        <f aca="false">+D38/C38*1000</f>
        <v>58.0437840953554</v>
      </c>
      <c r="I38" s="2" t="e">
        <f aca="false">+H38/G38*1000</f>
        <v>#DIV/0!</v>
      </c>
      <c r="K38" s="38" t="e">
        <f aca="false">+E38-I38</f>
        <v>#DIV/0!</v>
      </c>
      <c r="L38" s="2" t="e">
        <f aca="false">+(C38*(E38-I38))/1000</f>
        <v>#DIV/0!</v>
      </c>
      <c r="M38" s="42" t="e">
        <f aca="false">(M37*1.01625)+L38</f>
        <v>#DIV/0!</v>
      </c>
    </row>
    <row r="39" customFormat="false" ht="12.75" hidden="false" customHeight="false" outlineLevel="0" collapsed="false">
      <c r="A39" s="1" t="s">
        <v>175</v>
      </c>
      <c r="B39" s="41" t="n">
        <f aca="false">+B35+1</f>
        <v>2009</v>
      </c>
      <c r="C39" s="2" t="n">
        <v>18709911</v>
      </c>
      <c r="D39" s="2" t="n">
        <v>1117245</v>
      </c>
      <c r="E39" s="2" t="n">
        <f aca="false">+D39/C39*1000</f>
        <v>59.7140734661966</v>
      </c>
      <c r="I39" s="2" t="e">
        <f aca="false">+H39/G39*1000</f>
        <v>#DIV/0!</v>
      </c>
      <c r="K39" s="38" t="e">
        <f aca="false">+E39-I39</f>
        <v>#DIV/0!</v>
      </c>
      <c r="L39" s="2" t="e">
        <f aca="false">+(C39*(E39-I39))/1000</f>
        <v>#DIV/0!</v>
      </c>
      <c r="M39" s="42" t="e">
        <f aca="false">(M38*1.01625)+L39</f>
        <v>#DIV/0!</v>
      </c>
    </row>
    <row r="40" customFormat="false" ht="12.75" hidden="false" customHeight="false" outlineLevel="0" collapsed="false">
      <c r="A40" s="1" t="s">
        <v>176</v>
      </c>
      <c r="B40" s="41" t="n">
        <f aca="false">+B36+1</f>
        <v>2009</v>
      </c>
      <c r="C40" s="2" t="n">
        <v>19293801</v>
      </c>
      <c r="D40" s="2" t="n">
        <v>1288045</v>
      </c>
      <c r="E40" s="2" t="n">
        <f aca="false">+D40/C40*1000</f>
        <v>66.7595255077006</v>
      </c>
      <c r="I40" s="2" t="e">
        <f aca="false">+H40/G40*1000</f>
        <v>#DIV/0!</v>
      </c>
      <c r="K40" s="38" t="e">
        <f aca="false">+E40-I40</f>
        <v>#DIV/0!</v>
      </c>
      <c r="L40" s="2" t="e">
        <f aca="false">+(C40*(E40-I40))/1000</f>
        <v>#DIV/0!</v>
      </c>
      <c r="M40" s="42" t="e">
        <f aca="false">(M39*1.01625)+L40</f>
        <v>#DIV/0!</v>
      </c>
    </row>
    <row r="41" customFormat="false" ht="12.75" hidden="false" customHeight="false" outlineLevel="0" collapsed="false">
      <c r="A41" s="1" t="s">
        <v>177</v>
      </c>
      <c r="B41" s="41" t="n">
        <f aca="false">+B37+1</f>
        <v>2009</v>
      </c>
      <c r="C41" s="2" t="n">
        <v>18779557</v>
      </c>
      <c r="D41" s="2" t="n">
        <v>1110135</v>
      </c>
      <c r="E41" s="2" t="n">
        <f aca="false">+D41/C41*1000</f>
        <v>59.114014244319</v>
      </c>
      <c r="I41" s="2" t="e">
        <f aca="false">+H41/G41*1000</f>
        <v>#DIV/0!</v>
      </c>
      <c r="K41" s="38" t="e">
        <f aca="false">+E41-I41</f>
        <v>#DIV/0!</v>
      </c>
      <c r="L41" s="2" t="e">
        <f aca="false">+(C41*(E41-I41))/1000</f>
        <v>#DIV/0!</v>
      </c>
      <c r="M41" s="42" t="e">
        <f aca="false">(M40*1.01625)+L41</f>
        <v>#DIV/0!</v>
      </c>
    </row>
    <row r="42" customFormat="false" ht="12.75" hidden="false" customHeight="false" outlineLevel="0" collapsed="false">
      <c r="A42" s="1" t="s">
        <v>174</v>
      </c>
      <c r="B42" s="41" t="n">
        <f aca="false">+B38+1</f>
        <v>2010</v>
      </c>
      <c r="C42" s="2" t="n">
        <v>16709260</v>
      </c>
      <c r="D42" s="2" t="n">
        <v>1091325</v>
      </c>
      <c r="E42" s="2" t="n">
        <f aca="false">+D42/C42*1000</f>
        <v>65.3125871522737</v>
      </c>
      <c r="I42" s="2" t="e">
        <f aca="false">+H42/G42*1000</f>
        <v>#DIV/0!</v>
      </c>
      <c r="K42" s="38" t="e">
        <f aca="false">+E42-I42</f>
        <v>#DIV/0!</v>
      </c>
      <c r="L42" s="2" t="e">
        <f aca="false">+(C42*(E42-I42))/1000</f>
        <v>#DIV/0!</v>
      </c>
      <c r="M42" s="42" t="e">
        <f aca="false">(M41*1.01625)+L42</f>
        <v>#DIV/0!</v>
      </c>
    </row>
    <row r="43" customFormat="false" ht="12.75" hidden="false" customHeight="false" outlineLevel="0" collapsed="false">
      <c r="A43" s="1" t="s">
        <v>175</v>
      </c>
      <c r="B43" s="41" t="n">
        <f aca="false">+B39+1</f>
        <v>2010</v>
      </c>
      <c r="C43" s="2" t="n">
        <v>18607505</v>
      </c>
      <c r="D43" s="2" t="n">
        <v>1118705</v>
      </c>
      <c r="E43" s="2" t="n">
        <f aca="false">+D43/C43*1000</f>
        <v>60.1211715380434</v>
      </c>
      <c r="I43" s="2" t="e">
        <f aca="false">+H43/G43*1000</f>
        <v>#DIV/0!</v>
      </c>
      <c r="K43" s="38" t="e">
        <f aca="false">+E43-I43</f>
        <v>#DIV/0!</v>
      </c>
      <c r="L43" s="2" t="e">
        <f aca="false">+(C43*(E43-I43))/1000</f>
        <v>#DIV/0!</v>
      </c>
      <c r="M43" s="42" t="e">
        <f aca="false">(M42*1.01625)+L43</f>
        <v>#DIV/0!</v>
      </c>
    </row>
    <row r="44" customFormat="false" ht="12.75" hidden="false" customHeight="false" outlineLevel="0" collapsed="false">
      <c r="A44" s="1" t="s">
        <v>176</v>
      </c>
      <c r="B44" s="41" t="n">
        <f aca="false">+B40+1</f>
        <v>2010</v>
      </c>
      <c r="C44" s="2" t="n">
        <v>18922185</v>
      </c>
      <c r="D44" s="2" t="n">
        <v>1272959</v>
      </c>
      <c r="E44" s="2" t="n">
        <f aca="false">+D44/C44*1000</f>
        <v>67.2733619293966</v>
      </c>
      <c r="I44" s="2" t="e">
        <f aca="false">+H44/G44*1000</f>
        <v>#DIV/0!</v>
      </c>
      <c r="K44" s="38" t="e">
        <f aca="false">+E44-I44</f>
        <v>#DIV/0!</v>
      </c>
      <c r="L44" s="2" t="e">
        <f aca="false">+(C44*(E44-I44))/1000</f>
        <v>#DIV/0!</v>
      </c>
      <c r="M44" s="42" t="e">
        <f aca="false">(M43*1.01625)+L44</f>
        <v>#DIV/0!</v>
      </c>
    </row>
    <row r="45" customFormat="false" ht="12.75" hidden="false" customHeight="false" outlineLevel="0" collapsed="false">
      <c r="A45" s="1" t="s">
        <v>177</v>
      </c>
      <c r="B45" s="41" t="n">
        <f aca="false">+B41+1</f>
        <v>2010</v>
      </c>
      <c r="C45" s="2" t="n">
        <v>18490208</v>
      </c>
      <c r="D45" s="2" t="n">
        <v>1098610</v>
      </c>
      <c r="E45" s="2" t="n">
        <f aca="false">+D45/C45*1000</f>
        <v>59.4157729323543</v>
      </c>
      <c r="I45" s="2" t="e">
        <f aca="false">+H45/G45*1000</f>
        <v>#DIV/0!</v>
      </c>
      <c r="K45" s="38" t="e">
        <f aca="false">+E45-I45</f>
        <v>#DIV/0!</v>
      </c>
      <c r="L45" s="2" t="e">
        <f aca="false">+(C45*(E45-I45))/1000</f>
        <v>#DIV/0!</v>
      </c>
      <c r="M45" s="42" t="e">
        <f aca="false">(M44*1.01625)+L45</f>
        <v>#DIV/0!</v>
      </c>
    </row>
    <row r="49" customFormat="false" ht="12.75" hidden="false" customHeight="false" outlineLevel="0" collapsed="false">
      <c r="C49" s="2" t="s">
        <v>178</v>
      </c>
    </row>
    <row r="51" customFormat="false" ht="12.75" hidden="false" customHeight="false" outlineLevel="0" collapsed="false">
      <c r="A51" s="1" t="s">
        <v>174</v>
      </c>
      <c r="B51" s="41" t="n">
        <v>2001</v>
      </c>
      <c r="C51" s="2" t="n">
        <f aca="false">+D6+H6</f>
        <v>3798465</v>
      </c>
    </row>
    <row r="52" customFormat="false" ht="12.75" hidden="false" customHeight="false" outlineLevel="0" collapsed="false">
      <c r="A52" s="1" t="s">
        <v>175</v>
      </c>
      <c r="B52" s="41" t="n">
        <v>2001</v>
      </c>
      <c r="C52" s="2" t="n">
        <f aca="false">+D7+H7</f>
        <v>4550488</v>
      </c>
    </row>
    <row r="53" customFormat="false" ht="12.75" hidden="false" customHeight="false" outlineLevel="0" collapsed="false">
      <c r="A53" s="1" t="s">
        <v>176</v>
      </c>
      <c r="B53" s="41" t="n">
        <v>2001</v>
      </c>
      <c r="C53" s="2" t="n">
        <f aca="false">+D8+H8</f>
        <v>3672830</v>
      </c>
    </row>
    <row r="54" customFormat="false" ht="12.75" hidden="false" customHeight="false" outlineLevel="0" collapsed="false">
      <c r="A54" s="1" t="s">
        <v>177</v>
      </c>
      <c r="B54" s="41" t="n">
        <v>2001</v>
      </c>
      <c r="C54" s="2" t="n">
        <f aca="false">+D9+H9</f>
        <v>3089093</v>
      </c>
      <c r="D54" s="2" t="n">
        <f aca="false">2982000+2064000+569000</f>
        <v>5615000</v>
      </c>
      <c r="E54" s="2" t="n">
        <f aca="false">SUM(D$51:D54)-SUM(C$51:C54)</f>
        <v>-9495876</v>
      </c>
    </row>
    <row r="55" customFormat="false" ht="12.75" hidden="false" customHeight="false" outlineLevel="0" collapsed="false">
      <c r="A55" s="1" t="s">
        <v>174</v>
      </c>
      <c r="B55" s="41" t="n">
        <f aca="false">+B51+1</f>
        <v>2002</v>
      </c>
      <c r="C55" s="2" t="n">
        <f aca="false">+D10+H10</f>
        <v>1835879</v>
      </c>
    </row>
    <row r="56" customFormat="false" ht="12.75" hidden="false" customHeight="false" outlineLevel="0" collapsed="false">
      <c r="A56" s="1" t="s">
        <v>175</v>
      </c>
      <c r="B56" s="41" t="n">
        <f aca="false">+B52+1</f>
        <v>2002</v>
      </c>
      <c r="C56" s="2" t="n">
        <f aca="false">+D11+H11</f>
        <v>1921539</v>
      </c>
    </row>
    <row r="57" customFormat="false" ht="12.75" hidden="false" customHeight="false" outlineLevel="0" collapsed="false">
      <c r="A57" s="1" t="s">
        <v>176</v>
      </c>
      <c r="B57" s="41" t="n">
        <f aca="false">+B53+1</f>
        <v>2002</v>
      </c>
      <c r="C57" s="2" t="n">
        <f aca="false">+D12+H12</f>
        <v>2823681</v>
      </c>
    </row>
    <row r="58" customFormat="false" ht="12.75" hidden="false" customHeight="false" outlineLevel="0" collapsed="false">
      <c r="A58" s="1" t="s">
        <v>177</v>
      </c>
      <c r="B58" s="41" t="n">
        <f aca="false">+B54+1</f>
        <v>2002</v>
      </c>
      <c r="C58" s="2" t="n">
        <f aca="false">+D13+H13</f>
        <v>2213642</v>
      </c>
      <c r="D58" s="2" t="n">
        <f aca="false">4389000+3399000+1055000</f>
        <v>8843000</v>
      </c>
      <c r="E58" s="2" t="n">
        <f aca="false">SUM(D$51:D58)-SUM(C$51:C58)</f>
        <v>-9447617</v>
      </c>
    </row>
    <row r="59" customFormat="false" ht="12.75" hidden="false" customHeight="false" outlineLevel="0" collapsed="false">
      <c r="A59" s="1" t="s">
        <v>174</v>
      </c>
      <c r="B59" s="41" t="n">
        <f aca="false">+B55+1</f>
        <v>2003</v>
      </c>
      <c r="C59" s="2" t="n">
        <f aca="false">+D14+H14</f>
        <v>1564717</v>
      </c>
    </row>
    <row r="60" customFormat="false" ht="12.75" hidden="false" customHeight="false" outlineLevel="0" collapsed="false">
      <c r="A60" s="1" t="s">
        <v>175</v>
      </c>
      <c r="B60" s="41" t="n">
        <f aca="false">+B56+1</f>
        <v>2003</v>
      </c>
      <c r="C60" s="2" t="n">
        <f aca="false">+D15+H15</f>
        <v>1524643</v>
      </c>
    </row>
    <row r="61" customFormat="false" ht="12.75" hidden="false" customHeight="false" outlineLevel="0" collapsed="false">
      <c r="A61" s="1" t="s">
        <v>176</v>
      </c>
      <c r="B61" s="41" t="n">
        <f aca="false">+B57+1</f>
        <v>2003</v>
      </c>
      <c r="C61" s="2" t="n">
        <f aca="false">+D16+H16</f>
        <v>2371656</v>
      </c>
    </row>
    <row r="62" customFormat="false" ht="12.75" hidden="false" customHeight="false" outlineLevel="0" collapsed="false">
      <c r="A62" s="1" t="s">
        <v>177</v>
      </c>
      <c r="B62" s="41" t="n">
        <f aca="false">+B58+1</f>
        <v>2003</v>
      </c>
      <c r="C62" s="2" t="n">
        <f aca="false">+D17+H17</f>
        <v>1857746</v>
      </c>
      <c r="D62" s="2" t="n">
        <f aca="false">++5155000+3985000+1194000</f>
        <v>10334000</v>
      </c>
      <c r="E62" s="2" t="n">
        <f aca="false">SUM(D$51:D62)-SUM(C$51:C62)</f>
        <v>-6432379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6.28"/>
  </cols>
  <sheetData>
    <row r="2" customFormat="false" ht="12.75" hidden="false" customHeight="false" outlineLevel="0" collapsed="false">
      <c r="A2" s="44" t="s">
        <v>179</v>
      </c>
      <c r="D2" s="1" t="n">
        <v>1</v>
      </c>
      <c r="G2" s="0" t="n">
        <v>1</v>
      </c>
      <c r="J2" s="0" t="n">
        <v>0</v>
      </c>
      <c r="M2" s="0" t="n">
        <v>0</v>
      </c>
    </row>
    <row r="3" customFormat="false" ht="12.75" hidden="false" customHeight="false" outlineLevel="0" collapsed="false">
      <c r="A3" s="45" t="s">
        <v>180</v>
      </c>
      <c r="D3" s="1" t="n">
        <v>1</v>
      </c>
      <c r="G3" s="0" t="n">
        <v>0</v>
      </c>
      <c r="J3" s="0" t="n">
        <v>1</v>
      </c>
      <c r="M3" s="0" t="n">
        <v>0</v>
      </c>
    </row>
    <row r="4" customFormat="false" ht="12.75" hidden="false" customHeight="false" outlineLevel="0" collapsed="false">
      <c r="A4" s="44"/>
    </row>
    <row r="5" customFormat="false" ht="12.75" hidden="false" customHeight="false" outlineLevel="0" collapsed="false">
      <c r="A5" s="44" t="s">
        <v>181</v>
      </c>
      <c r="C5" s="46" t="s">
        <v>182</v>
      </c>
      <c r="D5" s="47"/>
      <c r="E5" s="48"/>
      <c r="F5" s="46" t="s">
        <v>182</v>
      </c>
      <c r="G5" s="47"/>
      <c r="H5" s="48"/>
      <c r="I5" s="46" t="s">
        <v>182</v>
      </c>
      <c r="J5" s="47"/>
      <c r="K5" s="48"/>
      <c r="L5" s="46" t="s">
        <v>182</v>
      </c>
      <c r="M5" s="47"/>
    </row>
    <row r="6" customFormat="false" ht="12.75" hidden="false" customHeight="false" outlineLevel="0" collapsed="false">
      <c r="A6" s="44"/>
      <c r="C6" s="49" t="s">
        <v>183</v>
      </c>
      <c r="D6" s="50" t="s">
        <v>159</v>
      </c>
      <c r="E6" s="51"/>
      <c r="F6" s="49" t="s">
        <v>183</v>
      </c>
      <c r="G6" s="50" t="s">
        <v>159</v>
      </c>
      <c r="H6" s="51"/>
      <c r="I6" s="49" t="s">
        <v>183</v>
      </c>
      <c r="J6" s="50" t="s">
        <v>159</v>
      </c>
      <c r="K6" s="51"/>
      <c r="L6" s="49" t="s">
        <v>183</v>
      </c>
      <c r="M6" s="50" t="s">
        <v>159</v>
      </c>
    </row>
    <row r="7" customFormat="false" ht="12.75" hidden="false" customHeight="false" outlineLevel="0" collapsed="false">
      <c r="A7" s="44" t="s">
        <v>184</v>
      </c>
      <c r="C7" s="49" t="n">
        <v>0.992060455930207</v>
      </c>
      <c r="D7" s="50" t="n">
        <v>0.47744091668656</v>
      </c>
      <c r="E7" s="51"/>
      <c r="F7" s="49" t="n">
        <v>0.992060455930207</v>
      </c>
      <c r="G7" s="50" t="n">
        <v>0.47744091668656</v>
      </c>
      <c r="H7" s="51"/>
      <c r="I7" s="49" t="n">
        <v>0.992060455930207</v>
      </c>
      <c r="J7" s="50" t="n">
        <v>0.47744091668656</v>
      </c>
      <c r="K7" s="51"/>
      <c r="L7" s="49" t="n">
        <v>0.992060455930207</v>
      </c>
      <c r="M7" s="50" t="n">
        <v>0.47744091668656</v>
      </c>
    </row>
    <row r="8" customFormat="false" ht="12.75" hidden="false" customHeight="false" outlineLevel="0" collapsed="false">
      <c r="A8" s="44" t="s">
        <v>185</v>
      </c>
      <c r="C8" s="49" t="n">
        <v>0</v>
      </c>
      <c r="D8" s="50" t="n">
        <v>0.645626290539639</v>
      </c>
      <c r="E8" s="51"/>
      <c r="F8" s="49" t="n">
        <v>0</v>
      </c>
      <c r="G8" s="50" t="n">
        <v>0.645626290539639</v>
      </c>
      <c r="H8" s="51"/>
      <c r="I8" s="49" t="n">
        <v>0</v>
      </c>
      <c r="J8" s="50" t="n">
        <v>0.513707457136107</v>
      </c>
      <c r="K8" s="51"/>
      <c r="L8" s="49" t="n">
        <v>0</v>
      </c>
      <c r="M8" s="50" t="n">
        <v>0.513707457136107</v>
      </c>
    </row>
    <row r="9" customFormat="false" ht="12.75" hidden="false" customHeight="false" outlineLevel="0" collapsed="false">
      <c r="A9" s="52" t="s">
        <v>186</v>
      </c>
      <c r="C9" s="49" t="n">
        <v>-0.382398070606219</v>
      </c>
      <c r="D9" s="50" t="n">
        <v>0</v>
      </c>
      <c r="E9" s="51"/>
      <c r="F9" s="49" t="n">
        <v>-0.382398070606219</v>
      </c>
      <c r="G9" s="50" t="n">
        <v>0</v>
      </c>
      <c r="H9" s="51"/>
      <c r="I9" s="49" t="n">
        <v>-0.304263849448699</v>
      </c>
      <c r="J9" s="50" t="n">
        <v>0</v>
      </c>
      <c r="K9" s="51"/>
      <c r="L9" s="49" t="n">
        <v>-0.304263849448699</v>
      </c>
      <c r="M9" s="50" t="n">
        <v>0</v>
      </c>
    </row>
    <row r="10" customFormat="false" ht="12.75" hidden="false" customHeight="false" outlineLevel="0" collapsed="false">
      <c r="A10" s="52" t="s">
        <v>187</v>
      </c>
      <c r="C10" s="49" t="n">
        <v>6.72269956998405</v>
      </c>
      <c r="D10" s="50" t="n">
        <v>6.67741902345315</v>
      </c>
      <c r="E10" s="51"/>
      <c r="F10" s="49" t="n">
        <v>6.72269956998405</v>
      </c>
      <c r="G10" s="50" t="n">
        <v>6.67741902345315</v>
      </c>
      <c r="H10" s="51"/>
      <c r="I10" s="49" t="n">
        <v>6.72269956998405</v>
      </c>
      <c r="J10" s="50" t="n">
        <v>6.67741902345315</v>
      </c>
      <c r="K10" s="51"/>
      <c r="L10" s="49" t="n">
        <v>6.72269956998405</v>
      </c>
      <c r="M10" s="50" t="n">
        <v>6.67741902345315</v>
      </c>
    </row>
    <row r="11" customFormat="false" ht="12.75" hidden="false" customHeight="false" outlineLevel="0" collapsed="false">
      <c r="A11" s="44" t="s">
        <v>188</v>
      </c>
      <c r="C11" s="49" t="n">
        <v>0.605831479227459</v>
      </c>
      <c r="D11" s="50" t="n">
        <v>0.312389591788016</v>
      </c>
      <c r="E11" s="51"/>
      <c r="F11" s="49" t="n">
        <v>0.30291573961373</v>
      </c>
      <c r="G11" s="50" t="n">
        <v>0.156194795894008</v>
      </c>
      <c r="H11" s="51"/>
      <c r="I11" s="49" t="n">
        <v>0.605831479227459</v>
      </c>
      <c r="J11" s="50" t="n">
        <v>0.312389591788016</v>
      </c>
      <c r="K11" s="51"/>
      <c r="L11" s="49" t="n">
        <v>0.30291573961373</v>
      </c>
      <c r="M11" s="50" t="n">
        <v>0.156194795894008</v>
      </c>
    </row>
    <row r="12" customFormat="false" ht="12.75" hidden="false" customHeight="false" outlineLevel="0" collapsed="false">
      <c r="A12" s="44"/>
      <c r="C12" s="49"/>
      <c r="D12" s="50"/>
      <c r="E12" s="51"/>
      <c r="F12" s="49"/>
      <c r="G12" s="50"/>
      <c r="H12" s="51"/>
      <c r="I12" s="49"/>
      <c r="J12" s="50"/>
      <c r="K12" s="51"/>
      <c r="L12" s="49"/>
      <c r="M12" s="50"/>
    </row>
    <row r="13" customFormat="false" ht="12.75" hidden="false" customHeight="false" outlineLevel="0" collapsed="false">
      <c r="A13" s="44" t="s">
        <v>189</v>
      </c>
      <c r="C13" s="49" t="n">
        <v>7.9381934345355</v>
      </c>
      <c r="D13" s="50" t="n">
        <v>8.11287582246736</v>
      </c>
      <c r="E13" s="51"/>
      <c r="F13" s="49" t="n">
        <v>7.63527769492177</v>
      </c>
      <c r="G13" s="50" t="n">
        <v>7.95668102657336</v>
      </c>
      <c r="H13" s="51"/>
      <c r="I13" s="49" t="n">
        <v>8.01632765569302</v>
      </c>
      <c r="J13" s="50" t="n">
        <v>7.98095698906383</v>
      </c>
      <c r="K13" s="51"/>
      <c r="L13" s="49" t="n">
        <v>7.71341191607929</v>
      </c>
      <c r="M13" s="50" t="n">
        <v>7.82476219316983</v>
      </c>
    </row>
    <row r="14" customFormat="false" ht="12.75" hidden="false" customHeight="false" outlineLevel="0" collapsed="false">
      <c r="A14" s="44"/>
      <c r="C14" s="49"/>
      <c r="D14" s="50"/>
      <c r="E14" s="51"/>
      <c r="F14" s="49"/>
      <c r="G14" s="50"/>
      <c r="H14" s="51"/>
      <c r="I14" s="49"/>
      <c r="J14" s="50"/>
      <c r="K14" s="51"/>
      <c r="L14" s="49"/>
      <c r="M14" s="50"/>
    </row>
    <row r="15" customFormat="false" ht="12.75" hidden="false" customHeight="false" outlineLevel="0" collapsed="false">
      <c r="A15" s="44" t="s">
        <v>190</v>
      </c>
      <c r="C15" s="49" t="n">
        <v>4.8875</v>
      </c>
      <c r="D15" s="50" t="n">
        <v>5.25</v>
      </c>
      <c r="E15" s="51"/>
      <c r="F15" s="49" t="n">
        <v>4.8875</v>
      </c>
      <c r="G15" s="50" t="n">
        <v>5.25</v>
      </c>
      <c r="H15" s="51"/>
      <c r="I15" s="49" t="n">
        <v>4.8875</v>
      </c>
      <c r="J15" s="50" t="n">
        <v>5.25</v>
      </c>
      <c r="K15" s="51"/>
      <c r="L15" s="49" t="n">
        <v>4.8875</v>
      </c>
      <c r="M15" s="50" t="n">
        <v>5.25</v>
      </c>
    </row>
    <row r="16" customFormat="false" ht="12.75" hidden="false" customHeight="false" outlineLevel="0" collapsed="false">
      <c r="A16" s="44"/>
      <c r="C16" s="49"/>
      <c r="D16" s="50"/>
      <c r="E16" s="51"/>
      <c r="F16" s="49"/>
      <c r="G16" s="50"/>
      <c r="H16" s="51"/>
      <c r="I16" s="49"/>
      <c r="J16" s="50"/>
      <c r="K16" s="51"/>
      <c r="L16" s="49"/>
      <c r="M16" s="50"/>
    </row>
    <row r="17" customFormat="false" ht="12.75" hidden="false" customHeight="false" outlineLevel="0" collapsed="false">
      <c r="A17" s="44" t="s">
        <v>191</v>
      </c>
      <c r="C17" s="49" t="n">
        <v>12.8256934345355</v>
      </c>
      <c r="D17" s="50" t="n">
        <v>13.3628758224674</v>
      </c>
      <c r="E17" s="51"/>
      <c r="F17" s="49" t="n">
        <v>12.5227776949218</v>
      </c>
      <c r="G17" s="50" t="n">
        <v>13.2066810265734</v>
      </c>
      <c r="H17" s="51"/>
      <c r="I17" s="49" t="n">
        <v>12.903827655693</v>
      </c>
      <c r="J17" s="50" t="n">
        <v>13.2309569890638</v>
      </c>
      <c r="K17" s="51"/>
      <c r="L17" s="49" t="n">
        <v>12.6009119160793</v>
      </c>
      <c r="M17" s="50" t="n">
        <v>13.0747621931698</v>
      </c>
    </row>
    <row r="18" customFormat="false" ht="12.75" hidden="false" customHeight="false" outlineLevel="0" collapsed="false">
      <c r="A18" s="44"/>
      <c r="C18" s="49"/>
      <c r="D18" s="50"/>
      <c r="E18" s="51"/>
      <c r="F18" s="49"/>
      <c r="G18" s="50"/>
      <c r="H18" s="51"/>
      <c r="I18" s="49"/>
      <c r="J18" s="50"/>
      <c r="K18" s="51"/>
      <c r="L18" s="49"/>
      <c r="M18" s="50"/>
    </row>
    <row r="19" customFormat="false" ht="12.75" hidden="false" customHeight="false" outlineLevel="0" collapsed="false">
      <c r="A19" s="44" t="s">
        <v>192</v>
      </c>
      <c r="C19" s="53" t="n">
        <f aca="false">+'Core &amp; Non-core'!B55</f>
        <v>14.8794141004406</v>
      </c>
      <c r="D19" s="54" t="n">
        <f aca="false">+'Core &amp; Non-core'!C55</f>
        <v>15.6708751528102</v>
      </c>
      <c r="E19" s="51"/>
      <c r="F19" s="53" t="n">
        <f aca="false">+C19</f>
        <v>14.8794141004406</v>
      </c>
      <c r="G19" s="54" t="n">
        <f aca="false">+D19</f>
        <v>15.6708751528102</v>
      </c>
      <c r="H19" s="51"/>
      <c r="I19" s="53" t="n">
        <f aca="false">+F19</f>
        <v>14.8794141004406</v>
      </c>
      <c r="J19" s="54" t="n">
        <f aca="false">+G19</f>
        <v>15.6708751528102</v>
      </c>
      <c r="K19" s="51"/>
      <c r="L19" s="53" t="n">
        <f aca="false">+I19</f>
        <v>14.8794141004406</v>
      </c>
      <c r="M19" s="54" t="n">
        <f aca="false">+J19</f>
        <v>15.6708751528102</v>
      </c>
    </row>
    <row r="20" customFormat="false" ht="12.75" hidden="false" customHeight="false" outlineLevel="0" collapsed="false">
      <c r="A20" s="44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customFormat="false" ht="12.75" hidden="false" customHeight="false" outlineLevel="0" collapsed="false">
      <c r="A21" s="44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</row>
    <row r="22" customFormat="false" ht="12.75" hidden="false" customHeight="false" outlineLevel="0" collapsed="false">
      <c r="A22" s="44" t="s">
        <v>193</v>
      </c>
      <c r="B22" s="55"/>
      <c r="C22" s="46" t="s">
        <v>182</v>
      </c>
      <c r="D22" s="47"/>
      <c r="E22" s="48"/>
      <c r="F22" s="46" t="s">
        <v>182</v>
      </c>
      <c r="G22" s="47"/>
      <c r="H22" s="48"/>
      <c r="I22" s="46" t="s">
        <v>182</v>
      </c>
      <c r="J22" s="47"/>
      <c r="K22" s="48"/>
      <c r="L22" s="46" t="s">
        <v>182</v>
      </c>
      <c r="M22" s="47"/>
    </row>
    <row r="23" customFormat="false" ht="12.75" hidden="false" customHeight="false" outlineLevel="0" collapsed="false">
      <c r="A23" s="44"/>
      <c r="C23" s="49" t="s">
        <v>183</v>
      </c>
      <c r="D23" s="50" t="s">
        <v>159</v>
      </c>
      <c r="E23" s="51"/>
      <c r="F23" s="49" t="s">
        <v>183</v>
      </c>
      <c r="G23" s="50" t="s">
        <v>159</v>
      </c>
      <c r="H23" s="51"/>
      <c r="I23" s="49" t="s">
        <v>183</v>
      </c>
      <c r="J23" s="50" t="s">
        <v>159</v>
      </c>
      <c r="K23" s="51"/>
      <c r="L23" s="49" t="s">
        <v>183</v>
      </c>
      <c r="M23" s="50" t="s">
        <v>159</v>
      </c>
    </row>
    <row r="24" customFormat="false" ht="12.75" hidden="false" customHeight="false" outlineLevel="0" collapsed="false">
      <c r="A24" s="44" t="s">
        <v>184</v>
      </c>
      <c r="C24" s="49" t="n">
        <v>0.992060455930208</v>
      </c>
      <c r="D24" s="50" t="n">
        <v>0.47744091668656</v>
      </c>
      <c r="E24" s="51"/>
      <c r="F24" s="49" t="n">
        <v>0.992060455930208</v>
      </c>
      <c r="G24" s="50" t="n">
        <v>0.47744091668656</v>
      </c>
      <c r="H24" s="51"/>
      <c r="I24" s="49" t="n">
        <v>0.992060455930208</v>
      </c>
      <c r="J24" s="50" t="n">
        <v>0.47744091668656</v>
      </c>
      <c r="K24" s="51"/>
      <c r="L24" s="49" t="n">
        <v>0.992060455930208</v>
      </c>
      <c r="M24" s="50" t="n">
        <v>0.47744091668656</v>
      </c>
    </row>
    <row r="25" customFormat="false" ht="12.75" hidden="false" customHeight="false" outlineLevel="0" collapsed="false">
      <c r="A25" s="44" t="s">
        <v>185</v>
      </c>
      <c r="C25" s="49" t="n">
        <v>10.4</v>
      </c>
      <c r="D25" s="50" t="n">
        <v>10.4</v>
      </c>
      <c r="E25" s="51"/>
      <c r="F25" s="49" t="n">
        <v>10.4</v>
      </c>
      <c r="G25" s="50" t="n">
        <v>10.4</v>
      </c>
      <c r="H25" s="51"/>
      <c r="I25" s="49" t="n">
        <v>8.275</v>
      </c>
      <c r="J25" s="50" t="n">
        <v>8.275</v>
      </c>
      <c r="K25" s="51"/>
      <c r="L25" s="49" t="n">
        <v>8.275</v>
      </c>
      <c r="M25" s="50" t="n">
        <v>8.275</v>
      </c>
    </row>
    <row r="26" customFormat="false" ht="12.75" hidden="false" customHeight="false" outlineLevel="0" collapsed="false">
      <c r="A26" s="44" t="s">
        <v>188</v>
      </c>
      <c r="C26" s="49" t="n">
        <v>0.605831479227459</v>
      </c>
      <c r="D26" s="50" t="n">
        <v>0.312389591788016</v>
      </c>
      <c r="E26" s="51"/>
      <c r="F26" s="49" t="n">
        <v>1.13179016209595</v>
      </c>
      <c r="G26" s="50" t="n">
        <v>0.671915488566093</v>
      </c>
      <c r="H26" s="51"/>
      <c r="I26" s="49" t="n">
        <v>0.605831479227459</v>
      </c>
      <c r="J26" s="50" t="n">
        <v>0.312389591788016</v>
      </c>
      <c r="K26" s="51"/>
      <c r="L26" s="49" t="n">
        <v>1.13179016209595</v>
      </c>
      <c r="M26" s="50" t="n">
        <v>0.671915488566093</v>
      </c>
    </row>
    <row r="27" customFormat="false" ht="12.75" hidden="false" customHeight="false" outlineLevel="0" collapsed="false">
      <c r="A27" s="44"/>
      <c r="C27" s="49"/>
      <c r="D27" s="50"/>
      <c r="E27" s="51"/>
      <c r="F27" s="49"/>
      <c r="G27" s="50"/>
      <c r="H27" s="51"/>
      <c r="I27" s="49"/>
      <c r="J27" s="50"/>
      <c r="K27" s="51"/>
      <c r="L27" s="49"/>
      <c r="M27" s="50"/>
    </row>
    <row r="28" customFormat="false" ht="12.75" hidden="false" customHeight="false" outlineLevel="0" collapsed="false">
      <c r="A28" s="44" t="s">
        <v>189</v>
      </c>
      <c r="C28" s="49" t="n">
        <v>11.9978919351577</v>
      </c>
      <c r="D28" s="50" t="n">
        <v>11.1898305084746</v>
      </c>
      <c r="E28" s="51"/>
      <c r="F28" s="49" t="n">
        <v>12.5238506180262</v>
      </c>
      <c r="G28" s="50" t="n">
        <v>11.5493564052527</v>
      </c>
      <c r="H28" s="51"/>
      <c r="I28" s="49" t="n">
        <v>9.87289193515767</v>
      </c>
      <c r="J28" s="50" t="n">
        <v>9.06483050847458</v>
      </c>
      <c r="K28" s="51"/>
      <c r="L28" s="49" t="n">
        <v>10.3988506180262</v>
      </c>
      <c r="M28" s="50" t="n">
        <v>9.42435640525265</v>
      </c>
    </row>
    <row r="29" customFormat="false" ht="12.75" hidden="false" customHeight="false" outlineLevel="0" collapsed="false">
      <c r="A29" s="44"/>
      <c r="C29" s="49"/>
      <c r="D29" s="50"/>
      <c r="E29" s="51"/>
      <c r="F29" s="49"/>
      <c r="G29" s="50"/>
      <c r="H29" s="51"/>
      <c r="I29" s="49"/>
      <c r="J29" s="50"/>
      <c r="K29" s="51"/>
      <c r="L29" s="49"/>
      <c r="M29" s="50"/>
    </row>
    <row r="30" customFormat="false" ht="12.75" hidden="false" customHeight="false" outlineLevel="0" collapsed="false">
      <c r="A30" s="44" t="s">
        <v>194</v>
      </c>
      <c r="C30" s="49" t="n">
        <v>2.21274711654288</v>
      </c>
      <c r="D30" s="50" t="n">
        <v>1.78313207904092</v>
      </c>
      <c r="E30" s="51"/>
      <c r="F30" s="49" t="n">
        <v>2.21274711654288</v>
      </c>
      <c r="G30" s="50" t="n">
        <v>1.78313207904092</v>
      </c>
      <c r="H30" s="51"/>
      <c r="I30" s="49" t="n">
        <v>2.21274711654288</v>
      </c>
      <c r="J30" s="50" t="n">
        <v>1.78313207904092</v>
      </c>
      <c r="K30" s="51"/>
      <c r="L30" s="49" t="n">
        <v>2.21274711654288</v>
      </c>
      <c r="M30" s="50" t="n">
        <v>1.78313207904092</v>
      </c>
    </row>
    <row r="31" customFormat="false" ht="12.75" hidden="false" customHeight="false" outlineLevel="0" collapsed="false">
      <c r="A31" s="44"/>
      <c r="C31" s="49"/>
      <c r="D31" s="50"/>
      <c r="E31" s="51"/>
      <c r="F31" s="49"/>
      <c r="G31" s="50"/>
      <c r="H31" s="51"/>
      <c r="I31" s="49"/>
      <c r="J31" s="50"/>
      <c r="K31" s="51"/>
      <c r="L31" s="49"/>
      <c r="M31" s="50"/>
    </row>
    <row r="32" customFormat="false" ht="12.75" hidden="false" customHeight="false" outlineLevel="0" collapsed="false">
      <c r="A32" s="44" t="s">
        <v>195</v>
      </c>
      <c r="C32" s="49" t="n">
        <v>14.2106390517006</v>
      </c>
      <c r="D32" s="50" t="n">
        <v>12.9729625875155</v>
      </c>
      <c r="E32" s="51"/>
      <c r="F32" s="49" t="n">
        <v>14.736597734569</v>
      </c>
      <c r="G32" s="50" t="n">
        <v>13.3324884842936</v>
      </c>
      <c r="H32" s="51"/>
      <c r="I32" s="49" t="n">
        <v>12.0856390517006</v>
      </c>
      <c r="J32" s="50" t="n">
        <v>10.8479625875155</v>
      </c>
      <c r="K32" s="51"/>
      <c r="L32" s="49" t="n">
        <v>12.611597734569</v>
      </c>
      <c r="M32" s="50" t="n">
        <v>11.2074884842936</v>
      </c>
    </row>
    <row r="33" customFormat="false" ht="12.75" hidden="false" customHeight="false" outlineLevel="0" collapsed="false">
      <c r="A33" s="44"/>
      <c r="C33" s="49"/>
      <c r="D33" s="50"/>
      <c r="E33" s="51"/>
      <c r="F33" s="49"/>
      <c r="G33" s="50"/>
      <c r="H33" s="51"/>
      <c r="I33" s="49"/>
      <c r="J33" s="50"/>
      <c r="K33" s="51"/>
      <c r="L33" s="49"/>
      <c r="M33" s="50"/>
    </row>
    <row r="34" customFormat="false" ht="12.75" hidden="false" customHeight="false" outlineLevel="0" collapsed="false">
      <c r="A34" s="44" t="s">
        <v>196</v>
      </c>
      <c r="C34" s="56" t="n">
        <f aca="false">+'Core &amp; Non-core'!B73</f>
        <v>12.2110115990807</v>
      </c>
      <c r="D34" s="57" t="n">
        <f aca="false">+'Core &amp; Non-core'!C73</f>
        <v>12.2110115990807</v>
      </c>
      <c r="F34" s="53" t="n">
        <f aca="false">+C34</f>
        <v>12.2110115990807</v>
      </c>
      <c r="G34" s="54" t="n">
        <f aca="false">+D34</f>
        <v>12.2110115990807</v>
      </c>
      <c r="I34" s="53" t="n">
        <f aca="false">+F34</f>
        <v>12.2110115990807</v>
      </c>
      <c r="J34" s="54" t="n">
        <f aca="false">+G34</f>
        <v>12.2110115990807</v>
      </c>
      <c r="L34" s="53" t="n">
        <f aca="false">+I34</f>
        <v>12.2110115990807</v>
      </c>
      <c r="M34" s="54" t="n">
        <f aca="false">+J34</f>
        <v>12.2110115990807</v>
      </c>
    </row>
    <row r="35" customFormat="false" ht="12.75" hidden="false" customHeight="false" outlineLevel="0" collapsed="false">
      <c r="A35" s="44"/>
    </row>
    <row r="36" customFormat="false" ht="12.75" hidden="false" customHeight="false" outlineLevel="0" collapsed="false">
      <c r="A36" s="44"/>
    </row>
    <row r="37" customFormat="false" ht="12.75" hidden="false" customHeight="false" outlineLevel="0" collapsed="false">
      <c r="A37" s="44"/>
    </row>
    <row r="38" customFormat="false" ht="12.75" hidden="false" customHeight="false" outlineLevel="0" collapsed="false">
      <c r="A38" s="44"/>
    </row>
    <row r="39" customFormat="false" ht="12.75" hidden="false" customHeight="false" outlineLevel="0" collapsed="false">
      <c r="A39" s="44"/>
    </row>
    <row r="40" customFormat="false" ht="12.75" hidden="false" customHeight="false" outlineLevel="0" collapsed="false">
      <c r="A40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0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I50" activeCellId="0" sqref="I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5.56"/>
    <col collapsed="false" customWidth="true" hidden="false" outlineLevel="0" max="7" min="7" style="0" width="9.41"/>
    <col collapsed="false" customWidth="true" hidden="false" outlineLevel="0" max="8" min="8" style="0" width="13.14"/>
    <col collapsed="false" customWidth="true" hidden="false" outlineLevel="0" max="10" min="10" style="0" width="23.85"/>
  </cols>
  <sheetData>
    <row r="1" customFormat="false" ht="12.75" hidden="false" customHeight="false" outlineLevel="0" collapsed="false">
      <c r="H1" s="58" t="s">
        <v>197</v>
      </c>
      <c r="I1" s="59" t="n">
        <v>0</v>
      </c>
      <c r="J1" s="60" t="s">
        <v>198</v>
      </c>
    </row>
    <row r="2" customFormat="false" ht="12.75" hidden="false" customHeight="false" outlineLevel="0" collapsed="false">
      <c r="B2" s="61" t="n">
        <v>2001</v>
      </c>
      <c r="C2" s="61"/>
      <c r="D2" s="61"/>
      <c r="F2" s="28"/>
      <c r="G2" s="28"/>
      <c r="H2" s="62" t="s">
        <v>199</v>
      </c>
      <c r="I2" s="63"/>
      <c r="J2" s="64" t="s">
        <v>200</v>
      </c>
    </row>
    <row r="4" customFormat="false" ht="12.75" hidden="false" customHeight="false" outlineLevel="0" collapsed="false">
      <c r="A4" s="65"/>
      <c r="B4" s="66" t="s">
        <v>158</v>
      </c>
      <c r="C4" s="66" t="s">
        <v>159</v>
      </c>
      <c r="D4" s="66" t="s">
        <v>160</v>
      </c>
      <c r="E4" s="65"/>
      <c r="F4" s="66"/>
      <c r="G4" s="66"/>
      <c r="H4" s="58" t="s">
        <v>197</v>
      </c>
      <c r="I4" s="67" t="n">
        <v>0</v>
      </c>
      <c r="J4" s="68" t="s">
        <v>201</v>
      </c>
    </row>
    <row r="5" customFormat="false" ht="12.75" hidden="false" customHeight="false" outlineLevel="0" collapsed="false">
      <c r="H5" s="69" t="s">
        <v>202</v>
      </c>
      <c r="I5" s="63"/>
      <c r="J5" s="70" t="s">
        <v>203</v>
      </c>
    </row>
    <row r="6" customFormat="false" ht="12.75" hidden="false" customHeight="false" outlineLevel="0" collapsed="false">
      <c r="A6" s="0" t="s">
        <v>204</v>
      </c>
      <c r="B6" s="8" t="n">
        <f aca="false">+PGE!E141</f>
        <v>52027.016284</v>
      </c>
      <c r="C6" s="8" t="n">
        <f aca="false">+SCE!E135</f>
        <v>58405.8</v>
      </c>
      <c r="D6" s="8" t="n">
        <f aca="false">+SDGE!E104</f>
        <v>16548</v>
      </c>
      <c r="E6" s="8"/>
    </row>
    <row r="7" customFormat="false" ht="12.75" hidden="false" customHeight="false" outlineLevel="0" collapsed="false">
      <c r="A7" s="0" t="s">
        <v>205</v>
      </c>
      <c r="B7" s="8" t="n">
        <f aca="false">B8-B6</f>
        <v>29963.954643</v>
      </c>
      <c r="C7" s="8" t="n">
        <f aca="false">C8-C6</f>
        <v>25374.2</v>
      </c>
      <c r="D7" s="8" t="n">
        <f aca="false">+SDGE!E105</f>
        <v>657</v>
      </c>
      <c r="E7" s="8"/>
      <c r="H7" s="58" t="s">
        <v>197</v>
      </c>
      <c r="I7" s="67" t="n">
        <v>0</v>
      </c>
      <c r="J7" s="68" t="s">
        <v>206</v>
      </c>
    </row>
    <row r="8" customFormat="false" ht="12.75" hidden="false" customHeight="false" outlineLevel="0" collapsed="false">
      <c r="A8" s="0" t="s">
        <v>207</v>
      </c>
      <c r="B8" s="8" t="n">
        <f aca="false">+PGE!E138</f>
        <v>81990.970927</v>
      </c>
      <c r="C8" s="8" t="n">
        <f aca="false">+SCE!E132</f>
        <v>83780</v>
      </c>
      <c r="D8" s="8" t="n">
        <f aca="false">+SDGE!E101</f>
        <v>17205</v>
      </c>
      <c r="E8" s="8"/>
      <c r="H8" s="69" t="s">
        <v>208</v>
      </c>
      <c r="I8" s="63"/>
      <c r="J8" s="70" t="s">
        <v>209</v>
      </c>
    </row>
    <row r="9" customFormat="false" ht="12.75" hidden="false" customHeight="false" outlineLevel="0" collapsed="false">
      <c r="B9" s="8"/>
      <c r="C9" s="8"/>
      <c r="D9" s="8"/>
      <c r="E9" s="8"/>
    </row>
    <row r="10" customFormat="false" ht="12.75" hidden="false" customHeight="false" outlineLevel="0" collapsed="false">
      <c r="A10" s="0" t="s">
        <v>210</v>
      </c>
      <c r="B10" s="8" t="n">
        <f aca="false">IF(I1=1,83000*0.58,93000*0.58)</f>
        <v>53940</v>
      </c>
      <c r="C10" s="8" t="n">
        <f aca="false">83000*0.66</f>
        <v>54780</v>
      </c>
      <c r="D10" s="8" t="n">
        <f aca="false">16000*0.33</f>
        <v>5280</v>
      </c>
      <c r="E10" s="8"/>
    </row>
    <row r="11" customFormat="false" ht="12.75" hidden="false" customHeight="false" outlineLevel="0" collapsed="false">
      <c r="B11" s="8"/>
      <c r="C11" s="8"/>
      <c r="D11" s="8"/>
      <c r="E11" s="8"/>
    </row>
    <row r="12" customFormat="false" ht="12.75" hidden="false" customHeight="false" outlineLevel="0" collapsed="false">
      <c r="A12" s="0" t="s">
        <v>211</v>
      </c>
      <c r="B12" s="8"/>
      <c r="C12" s="8"/>
      <c r="D12" s="8"/>
      <c r="E12" s="8"/>
    </row>
    <row r="13" customFormat="false" ht="12.75" hidden="false" customHeight="false" outlineLevel="0" collapsed="false">
      <c r="A13" s="0" t="s">
        <v>212</v>
      </c>
      <c r="B13" s="8" t="n">
        <f aca="false">+B10-B8</f>
        <v>-28050.970927</v>
      </c>
      <c r="C13" s="8" t="n">
        <f aca="false">+C10-C8</f>
        <v>-29000</v>
      </c>
      <c r="D13" s="8" t="n">
        <f aca="false">+D10-D8</f>
        <v>-11925</v>
      </c>
      <c r="E13" s="8"/>
    </row>
    <row r="14" customFormat="false" ht="12.75" hidden="false" customHeight="false" outlineLevel="0" collapsed="false">
      <c r="A14" s="0" t="s">
        <v>213</v>
      </c>
      <c r="B14" s="8" t="n">
        <f aca="false">+B10-B6</f>
        <v>1912.983716</v>
      </c>
      <c r="C14" s="8" t="n">
        <f aca="false">+C10-C6</f>
        <v>-3625.8</v>
      </c>
      <c r="D14" s="8" t="n">
        <f aca="false">+D10-D6</f>
        <v>-11268</v>
      </c>
      <c r="E14" s="8"/>
    </row>
    <row r="15" customFormat="false" ht="12.75" hidden="false" customHeight="false" outlineLevel="0" collapsed="false">
      <c r="B15" s="43"/>
    </row>
    <row r="17" customFormat="false" ht="12.75" hidden="false" customHeight="false" outlineLevel="0" collapsed="false">
      <c r="A17" s="0" t="s">
        <v>214</v>
      </c>
    </row>
    <row r="21" customFormat="false" ht="12.75" hidden="false" customHeight="false" outlineLevel="0" collapsed="false">
      <c r="B21" s="66" t="s">
        <v>158</v>
      </c>
      <c r="C21" s="66" t="s">
        <v>159</v>
      </c>
      <c r="D21" s="66" t="s">
        <v>160</v>
      </c>
    </row>
    <row r="23" customFormat="false" ht="12.75" hidden="false" customHeight="false" outlineLevel="0" collapsed="false">
      <c r="A23" s="0" t="s">
        <v>215</v>
      </c>
      <c r="B23" s="71" t="n">
        <f aca="false">83000*0.98*0.01</f>
        <v>813.4</v>
      </c>
      <c r="C23" s="71" t="n">
        <v>400</v>
      </c>
      <c r="D23" s="71" t="n">
        <f aca="false">16000*0.96*0.012</f>
        <v>184.32</v>
      </c>
    </row>
    <row r="24" customFormat="false" ht="12.75" hidden="false" customHeight="false" outlineLevel="0" collapsed="false">
      <c r="A24" s="0" t="s">
        <v>216</v>
      </c>
      <c r="B24" s="71" t="n">
        <f aca="false">83000*0.98*0.033</f>
        <v>2684.22</v>
      </c>
      <c r="C24" s="71" t="n">
        <v>2700</v>
      </c>
      <c r="D24" s="71" t="n">
        <f aca="false">16000*0.96*0.053</f>
        <v>814.08</v>
      </c>
    </row>
    <row r="25" customFormat="false" ht="12.75" hidden="false" customHeight="false" outlineLevel="0" collapsed="false">
      <c r="A25" s="0" t="s">
        <v>217</v>
      </c>
      <c r="B25" s="71" t="n">
        <f aca="false">83000*0.98*0.007</f>
        <v>569.38</v>
      </c>
      <c r="C25" s="71" t="n">
        <v>300</v>
      </c>
      <c r="D25" s="71" t="n">
        <f aca="false">16000*0.96*0.004</f>
        <v>61.44</v>
      </c>
    </row>
    <row r="26" customFormat="false" ht="12.75" hidden="false" customHeight="false" outlineLevel="0" collapsed="false">
      <c r="A26" s="0" t="s">
        <v>218</v>
      </c>
      <c r="B26" s="71" t="n">
        <f aca="false">83000*0.98*0.043</f>
        <v>3497.62</v>
      </c>
      <c r="C26" s="71" t="n">
        <v>3900</v>
      </c>
      <c r="D26" s="71" t="n">
        <f aca="false">16000*0.96*0.024</f>
        <v>368.64</v>
      </c>
    </row>
    <row r="27" customFormat="false" ht="12.75" hidden="false" customHeight="false" outlineLevel="0" collapsed="false">
      <c r="B27" s="71"/>
      <c r="C27" s="71"/>
      <c r="D27" s="71"/>
    </row>
    <row r="28" customFormat="false" ht="12.75" hidden="false" customHeight="false" outlineLevel="0" collapsed="false">
      <c r="A28" s="0" t="s">
        <v>189</v>
      </c>
      <c r="B28" s="71" t="n">
        <f aca="false">SUM(B23:B27)</f>
        <v>7564.62</v>
      </c>
      <c r="C28" s="71" t="n">
        <f aca="false">SUM(C23:C27)</f>
        <v>7300</v>
      </c>
      <c r="D28" s="71" t="n">
        <f aca="false">SUM(D23:D27)</f>
        <v>1428.48</v>
      </c>
    </row>
    <row r="29" customFormat="false" ht="12.75" hidden="false" customHeight="false" outlineLevel="0" collapsed="false">
      <c r="B29" s="71"/>
      <c r="C29" s="71"/>
      <c r="D29" s="71"/>
    </row>
    <row r="30" customFormat="false" ht="12.75" hidden="false" customHeight="false" outlineLevel="0" collapsed="false">
      <c r="A30" s="0" t="s">
        <v>194</v>
      </c>
      <c r="B30" s="71" t="n">
        <f aca="false">+B8*B34/100</f>
        <v>3205.8469632457</v>
      </c>
      <c r="C30" s="71" t="n">
        <f aca="false">+C8*C34/100</f>
        <v>3518.76</v>
      </c>
      <c r="D30" s="71" t="n">
        <f aca="false">+D8*D34/100</f>
        <v>1071.8715</v>
      </c>
    </row>
    <row r="31" customFormat="false" ht="12.75" hidden="false" customHeight="false" outlineLevel="0" collapsed="false">
      <c r="B31" s="71"/>
      <c r="C31" s="71"/>
      <c r="D31" s="71"/>
    </row>
    <row r="32" customFormat="false" ht="12.75" hidden="false" customHeight="false" outlineLevel="0" collapsed="false">
      <c r="A32" s="0" t="s">
        <v>219</v>
      </c>
      <c r="B32" s="71" t="n">
        <f aca="false">+B28+B30</f>
        <v>10770.4669632457</v>
      </c>
      <c r="C32" s="71" t="n">
        <f aca="false">+C28+C30</f>
        <v>10818.76</v>
      </c>
      <c r="D32" s="71" t="n">
        <f aca="false">+D28+D30</f>
        <v>2500.3515</v>
      </c>
    </row>
    <row r="34" customFormat="false" ht="12.75" hidden="false" customHeight="false" outlineLevel="0" collapsed="false">
      <c r="A34" s="0" t="s">
        <v>220</v>
      </c>
      <c r="B34" s="72" t="n">
        <v>3.91</v>
      </c>
      <c r="C34" s="72" t="n">
        <v>4.2</v>
      </c>
      <c r="D34" s="72" t="n">
        <v>6.23</v>
      </c>
    </row>
    <row r="35" customFormat="false" ht="12.75" hidden="false" customHeight="false" outlineLevel="0" collapsed="false">
      <c r="A35" s="0" t="s">
        <v>221</v>
      </c>
      <c r="B35" s="73" t="n">
        <v>3.95</v>
      </c>
      <c r="C35" s="73" t="n">
        <v>4.02</v>
      </c>
      <c r="D35" s="73" t="n">
        <f aca="false">12.73-6.5</f>
        <v>6.23</v>
      </c>
    </row>
    <row r="37" customFormat="false" ht="12.75" hidden="false" customHeight="false" outlineLevel="0" collapsed="false">
      <c r="A37" s="74" t="s">
        <v>222</v>
      </c>
      <c r="B37" s="75"/>
      <c r="C37" s="75"/>
      <c r="D37" s="60"/>
      <c r="F37" s="74" t="s">
        <v>182</v>
      </c>
      <c r="G37" s="75"/>
      <c r="H37" s="60"/>
    </row>
    <row r="38" customFormat="false" ht="12.75" hidden="false" customHeight="false" outlineLevel="0" collapsed="false">
      <c r="A38" s="76"/>
      <c r="B38" s="44"/>
      <c r="C38" s="44"/>
      <c r="D38" s="77"/>
      <c r="F38" s="76"/>
      <c r="G38" s="44"/>
      <c r="H38" s="77"/>
    </row>
    <row r="39" customFormat="false" ht="12.75" hidden="false" customHeight="false" outlineLevel="0" collapsed="false">
      <c r="A39" s="76" t="s">
        <v>184</v>
      </c>
      <c r="B39" s="71" t="n">
        <f aca="false">+B6/B8*B23</f>
        <v>516.139454953934</v>
      </c>
      <c r="C39" s="71" t="n">
        <f aca="false">+C6/C8*C23</f>
        <v>278.853186918119</v>
      </c>
      <c r="D39" s="78" t="n">
        <f aca="false">+D6/D8*D23</f>
        <v>177.281450741064</v>
      </c>
      <c r="F39" s="79" t="n">
        <f aca="false">+B39/B$6*100</f>
        <v>0.992060455930207</v>
      </c>
      <c r="G39" s="9" t="n">
        <f aca="false">+C39/C$6*100</f>
        <v>0.47744091668656</v>
      </c>
      <c r="H39" s="80" t="n">
        <f aca="false">+D39/D$6*100</f>
        <v>1.07131647776809</v>
      </c>
    </row>
    <row r="40" customFormat="false" ht="12.75" hidden="false" customHeight="false" outlineLevel="0" collapsed="false">
      <c r="A40" s="76" t="s">
        <v>185</v>
      </c>
      <c r="B40" s="71" t="n">
        <f aca="false">IF(B14&lt;0,(-B14*IF($I$4=1,104,82.75))/1000,0)</f>
        <v>0</v>
      </c>
      <c r="C40" s="71" t="n">
        <f aca="false">IF(C14&lt;0,(-C14*IF($I$4=1,104,82.75))/1000,0)</f>
        <v>300.03495</v>
      </c>
      <c r="D40" s="78" t="n">
        <f aca="false">IF(D14&lt;0,(-D14*IF($I$4=1,104,82.75))/1000,0)</f>
        <v>932.427</v>
      </c>
      <c r="F40" s="79" t="n">
        <f aca="false">+B40/B$6*100</f>
        <v>0</v>
      </c>
      <c r="G40" s="9" t="n">
        <f aca="false">+C40/C$6*100</f>
        <v>0.513707457136107</v>
      </c>
      <c r="H40" s="80" t="n">
        <f aca="false">+D40/D$6*100</f>
        <v>5.63468092820885</v>
      </c>
    </row>
    <row r="41" customFormat="false" ht="12.75" hidden="false" customHeight="false" outlineLevel="0" collapsed="false">
      <c r="A41" s="81" t="s">
        <v>186</v>
      </c>
      <c r="B41" s="71" t="n">
        <f aca="false">IF(B14&gt;0,(-B14*IF($I$4=1,104,82.75))/1000,0)</f>
        <v>-158.299402499</v>
      </c>
      <c r="C41" s="71" t="n">
        <f aca="false">IF(C14&gt;0,(-C14*IF($I$4=1,104,82.75))/1000,0)</f>
        <v>0</v>
      </c>
      <c r="D41" s="78" t="n">
        <f aca="false">IF(D14&gt;0,(-D14*IF($I$4=1,104,82.75))/1000,0)</f>
        <v>0</v>
      </c>
      <c r="F41" s="79" t="n">
        <f aca="false">+B41/B$6*100</f>
        <v>-0.304263849448699</v>
      </c>
      <c r="G41" s="9" t="n">
        <f aca="false">+C41/C$6*100</f>
        <v>0</v>
      </c>
      <c r="H41" s="80" t="n">
        <f aca="false">+D41/D$6*100</f>
        <v>0</v>
      </c>
    </row>
    <row r="42" customFormat="false" ht="12.75" hidden="false" customHeight="false" outlineLevel="0" collapsed="false">
      <c r="A42" s="81" t="s">
        <v>187</v>
      </c>
      <c r="B42" s="71" t="n">
        <f aca="false">B26</f>
        <v>3497.62</v>
      </c>
      <c r="C42" s="71" t="n">
        <f aca="false">C26</f>
        <v>3900</v>
      </c>
      <c r="D42" s="78" t="n">
        <f aca="false">D26</f>
        <v>368.64</v>
      </c>
      <c r="F42" s="79" t="n">
        <f aca="false">+B42/B$6*100</f>
        <v>6.72269956998405</v>
      </c>
      <c r="G42" s="9" t="n">
        <f aca="false">+C42/C$6*100</f>
        <v>6.67741902345315</v>
      </c>
      <c r="H42" s="80" t="n">
        <f aca="false">+D42/D$6*100</f>
        <v>2.22770123277738</v>
      </c>
    </row>
    <row r="43" customFormat="false" ht="12.75" hidden="false" customHeight="false" outlineLevel="0" collapsed="false">
      <c r="A43" s="76" t="s">
        <v>223</v>
      </c>
      <c r="B43" s="71" t="n">
        <f aca="false">IF($I$7=1,+B$25*0.8724*(B$6/B$8),+B$25*0.8724*(B$6*0.5/B$8))</f>
        <v>157.598021175634</v>
      </c>
      <c r="C43" s="71" t="n">
        <f aca="false">IF($I$7=1,+C$25*0.8724*(C$6/C$8),+C$25*0.8724*(C$6*0.5/C$8))</f>
        <v>91.2268201002626</v>
      </c>
      <c r="D43" s="78" t="n">
        <f aca="false">IF($I$7=1,+D$25*0.8724*(D$6/D$8),+D$25*0.8724*(D$6*0.5/D$8))</f>
        <v>25.7767229377507</v>
      </c>
      <c r="F43" s="79" t="n">
        <f aca="false">+B43/B$6*100</f>
        <v>0.30291573961373</v>
      </c>
      <c r="G43" s="9" t="n">
        <f aca="false">+C43/C$6*100</f>
        <v>0.156194795894008</v>
      </c>
      <c r="H43" s="80" t="n">
        <f aca="false">+D43/D$6*100</f>
        <v>0.15576941586748</v>
      </c>
    </row>
    <row r="44" customFormat="false" ht="12.75" hidden="false" customHeight="false" outlineLevel="0" collapsed="false">
      <c r="A44" s="76"/>
      <c r="B44" s="71"/>
      <c r="C44" s="71"/>
      <c r="D44" s="78"/>
      <c r="F44" s="82"/>
      <c r="G44" s="83"/>
      <c r="H44" s="84"/>
    </row>
    <row r="45" customFormat="false" ht="12.75" hidden="false" customHeight="false" outlineLevel="0" collapsed="false">
      <c r="A45" s="76" t="s">
        <v>189</v>
      </c>
      <c r="B45" s="71" t="n">
        <f aca="false">SUM(B39:B44)</f>
        <v>4013.05807363057</v>
      </c>
      <c r="C45" s="71" t="n">
        <f aca="false">SUM(C39:C44)</f>
        <v>4570.11495701838</v>
      </c>
      <c r="D45" s="78" t="n">
        <f aca="false">SUM(D39:D44)</f>
        <v>1504.12517367881</v>
      </c>
      <c r="F45" s="79" t="n">
        <f aca="false">+B45/B$6*100</f>
        <v>7.71341191607929</v>
      </c>
      <c r="G45" s="9" t="n">
        <f aca="false">+C45/C$6*100</f>
        <v>7.82476219316983</v>
      </c>
      <c r="H45" s="80" t="n">
        <f aca="false">+D45/D$6*100</f>
        <v>9.08946805462179</v>
      </c>
    </row>
    <row r="46" customFormat="false" ht="12.75" hidden="false" customHeight="false" outlineLevel="0" collapsed="false">
      <c r="A46" s="76"/>
      <c r="B46" s="71"/>
      <c r="C46" s="71"/>
      <c r="D46" s="78"/>
      <c r="F46" s="82"/>
      <c r="G46" s="83"/>
      <c r="H46" s="84"/>
    </row>
    <row r="47" customFormat="false" ht="12.75" hidden="false" customHeight="false" outlineLevel="0" collapsed="false">
      <c r="A47" s="76" t="s">
        <v>224</v>
      </c>
      <c r="B47" s="71" t="n">
        <f aca="false">+B6*B79/100</f>
        <v>2542.8204208805</v>
      </c>
      <c r="C47" s="71" t="n">
        <f aca="false">+C6*C79/100</f>
        <v>3066.3045</v>
      </c>
      <c r="D47" s="78" t="n">
        <f aca="false">+D6*D79/100</f>
        <v>1055.59692</v>
      </c>
      <c r="F47" s="79" t="n">
        <f aca="false">+B47/B$6*100</f>
        <v>4.8875</v>
      </c>
      <c r="G47" s="9" t="n">
        <f aca="false">+C47/C$6*100</f>
        <v>5.25</v>
      </c>
      <c r="H47" s="80" t="n">
        <f aca="false">+D47/D$6*100</f>
        <v>6.379</v>
      </c>
    </row>
    <row r="48" customFormat="false" ht="12.75" hidden="false" customHeight="false" outlineLevel="0" collapsed="false">
      <c r="A48" s="76"/>
      <c r="B48" s="71"/>
      <c r="C48" s="71"/>
      <c r="D48" s="78"/>
      <c r="F48" s="76"/>
      <c r="G48" s="44"/>
      <c r="H48" s="77"/>
    </row>
    <row r="49" customFormat="false" ht="12.75" hidden="false" customHeight="false" outlineLevel="0" collapsed="false">
      <c r="A49" s="76" t="s">
        <v>62</v>
      </c>
      <c r="B49" s="71" t="n">
        <f aca="false">SUM(B45:B47)</f>
        <v>6555.87849451107</v>
      </c>
      <c r="C49" s="71" t="n">
        <f aca="false">SUM(C45:C47)</f>
        <v>7636.41945701838</v>
      </c>
      <c r="D49" s="78" t="n">
        <f aca="false">SUM(D45:D47)</f>
        <v>2559.72209367881</v>
      </c>
      <c r="F49" s="85" t="n">
        <f aca="false">+B49/B$6*100</f>
        <v>12.6009119160793</v>
      </c>
      <c r="G49" s="86" t="n">
        <f aca="false">+C49/C$6*100</f>
        <v>13.0747621931698</v>
      </c>
      <c r="H49" s="87" t="n">
        <f aca="false">+D49/D$6*100</f>
        <v>15.4684680546218</v>
      </c>
    </row>
    <row r="50" customFormat="false" ht="12.75" hidden="false" customHeight="false" outlineLevel="0" collapsed="false">
      <c r="A50" s="76"/>
      <c r="B50" s="10"/>
      <c r="C50" s="10"/>
      <c r="D50" s="88"/>
    </row>
    <row r="51" customFormat="false" ht="12.75" hidden="false" customHeight="false" outlineLevel="0" collapsed="false">
      <c r="A51" s="76" t="s">
        <v>225</v>
      </c>
      <c r="B51" s="8" t="n">
        <f aca="false">+B6</f>
        <v>52027.016284</v>
      </c>
      <c r="C51" s="8" t="n">
        <f aca="false">+C6</f>
        <v>58405.8</v>
      </c>
      <c r="D51" s="89" t="n">
        <f aca="false">+D6</f>
        <v>16548</v>
      </c>
    </row>
    <row r="52" customFormat="false" ht="12.75" hidden="false" customHeight="false" outlineLevel="0" collapsed="false">
      <c r="A52" s="76"/>
      <c r="B52" s="10"/>
      <c r="C52" s="10"/>
      <c r="D52" s="88"/>
    </row>
    <row r="53" customFormat="false" ht="12.75" hidden="false" customHeight="false" outlineLevel="0" collapsed="false">
      <c r="A53" s="76" t="s">
        <v>226</v>
      </c>
      <c r="B53" s="9" t="n">
        <f aca="false">+B49/B51*100</f>
        <v>12.6009119160793</v>
      </c>
      <c r="C53" s="9" t="n">
        <f aca="false">+C49/C51*100</f>
        <v>13.0747621931698</v>
      </c>
      <c r="D53" s="80" t="n">
        <f aca="false">+D49/D51*100</f>
        <v>15.4684680546218</v>
      </c>
    </row>
    <row r="54" customFormat="false" ht="12.75" hidden="false" customHeight="false" outlineLevel="0" collapsed="false">
      <c r="A54" s="76"/>
      <c r="B54" s="10"/>
      <c r="C54" s="44"/>
      <c r="D54" s="77"/>
    </row>
    <row r="55" customFormat="false" ht="12.75" hidden="false" customHeight="false" outlineLevel="0" collapsed="false">
      <c r="A55" s="69" t="s">
        <v>227</v>
      </c>
      <c r="B55" s="90" t="n">
        <f aca="false">+PGE!J141</f>
        <v>14.8794141004406</v>
      </c>
      <c r="C55" s="90" t="n">
        <f aca="false">+SCE!J135</f>
        <v>15.6708751528102</v>
      </c>
      <c r="D55" s="91" t="n">
        <f aca="false">+SDGE!J104</f>
        <v>15.9233744259125</v>
      </c>
    </row>
    <row r="56" customFormat="false" ht="12.75" hidden="false" customHeight="false" outlineLevel="0" collapsed="false">
      <c r="A56" s="44"/>
      <c r="B56" s="92"/>
      <c r="C56" s="92"/>
      <c r="D56" s="92"/>
    </row>
    <row r="57" customFormat="false" ht="12.75" hidden="false" customHeight="false" outlineLevel="0" collapsed="false">
      <c r="A57" s="74" t="s">
        <v>228</v>
      </c>
      <c r="B57" s="75"/>
      <c r="C57" s="75"/>
      <c r="D57" s="60"/>
      <c r="F57" s="74" t="s">
        <v>182</v>
      </c>
      <c r="G57" s="75"/>
      <c r="H57" s="60"/>
    </row>
    <row r="58" customFormat="false" ht="12.75" hidden="false" customHeight="false" outlineLevel="0" collapsed="false">
      <c r="A58" s="76"/>
      <c r="B58" s="44"/>
      <c r="C58" s="44"/>
      <c r="D58" s="77"/>
      <c r="F58" s="76"/>
      <c r="G58" s="44"/>
      <c r="H58" s="77"/>
    </row>
    <row r="59" customFormat="false" ht="12.75" hidden="false" customHeight="false" outlineLevel="0" collapsed="false">
      <c r="A59" s="76" t="s">
        <v>184</v>
      </c>
      <c r="B59" s="71" t="n">
        <f aca="false">B23-B39</f>
        <v>297.260545046066</v>
      </c>
      <c r="C59" s="71" t="n">
        <f aca="false">C23-C39</f>
        <v>121.146813081881</v>
      </c>
      <c r="D59" s="78" t="n">
        <f aca="false">D23-D39</f>
        <v>7.03854925893637</v>
      </c>
      <c r="F59" s="82" t="n">
        <f aca="false">B59/B$67*B$71</f>
        <v>0.992060455930208</v>
      </c>
      <c r="G59" s="83" t="n">
        <f aca="false">C59/C$67*C$71</f>
        <v>0.47744091668656</v>
      </c>
      <c r="H59" s="84" t="n">
        <f aca="false">D59/D$67*D$71</f>
        <v>1.07131647776809</v>
      </c>
    </row>
    <row r="60" customFormat="false" ht="12.75" hidden="false" customHeight="false" outlineLevel="0" collapsed="false">
      <c r="A60" s="76" t="s">
        <v>185</v>
      </c>
      <c r="B60" s="71" t="n">
        <f aca="false">B7*IF($I$4=1,104,82.75)/1000</f>
        <v>2479.51724670825</v>
      </c>
      <c r="C60" s="71" t="n">
        <f aca="false">C7*IF($I$4=1,104,82.75)/1000</f>
        <v>2099.71505</v>
      </c>
      <c r="D60" s="78" t="n">
        <f aca="false">D7*IF($I$4=1,104,82.75)/1000</f>
        <v>54.36675</v>
      </c>
      <c r="F60" s="82" t="n">
        <f aca="false">B60/B$67*B$71</f>
        <v>8.275</v>
      </c>
      <c r="G60" s="83" t="n">
        <f aca="false">C60/C$67*C$71</f>
        <v>8.275</v>
      </c>
      <c r="H60" s="84" t="n">
        <f aca="false">D60/D$67*D$71</f>
        <v>8.275</v>
      </c>
    </row>
    <row r="61" customFormat="false" ht="12.75" hidden="false" customHeight="false" outlineLevel="0" collapsed="false">
      <c r="A61" s="76" t="s">
        <v>223</v>
      </c>
      <c r="B61" s="71" t="n">
        <f aca="false">IF($I$7=1,+B$25*0.8724*(B$7/B$8),+B$25*0.8724*((B$7/B$8)+(0.5*B$6/B$8)))</f>
        <v>339.129090824366</v>
      </c>
      <c r="C61" s="71" t="n">
        <f aca="false">IF($I$7=1,+C$25*0.8724*(C$7/C$8),+C$25*0.8724*((C$7/C$8)+(0.5*C$6/C$8)))</f>
        <v>170.493179899737</v>
      </c>
      <c r="D61" s="78" t="n">
        <f aca="false">IF($I$7=1,+D$25*0.8724*(D$7/D$8),+D$25*0.8724*((D$7/D$8)+(0.5*D$6/D$8)))</f>
        <v>27.8235330622493</v>
      </c>
      <c r="F61" s="82" t="n">
        <f aca="false">B61/B$67*B$71</f>
        <v>1.13179016209595</v>
      </c>
      <c r="G61" s="83" t="n">
        <f aca="false">C61/C$67*C$71</f>
        <v>0.671915488566093</v>
      </c>
      <c r="H61" s="84" t="n">
        <f aca="false">D61/D$67*D$71</f>
        <v>4.23493653915515</v>
      </c>
    </row>
    <row r="62" customFormat="false" ht="12.75" hidden="false" customHeight="false" outlineLevel="0" collapsed="false">
      <c r="A62" s="76"/>
      <c r="B62" s="71"/>
      <c r="C62" s="71"/>
      <c r="D62" s="78"/>
      <c r="F62" s="82"/>
      <c r="G62" s="83"/>
      <c r="H62" s="84"/>
    </row>
    <row r="63" customFormat="false" ht="12.75" hidden="false" customHeight="false" outlineLevel="0" collapsed="false">
      <c r="A63" s="76" t="s">
        <v>189</v>
      </c>
      <c r="B63" s="71" t="n">
        <f aca="false">SUM(B59:B62)</f>
        <v>3115.90688257868</v>
      </c>
      <c r="C63" s="71" t="n">
        <f aca="false">SUM(C59:C62)</f>
        <v>2391.35504298162</v>
      </c>
      <c r="D63" s="78" t="n">
        <f aca="false">SUM(D59:D62)</f>
        <v>89.2288323211857</v>
      </c>
      <c r="F63" s="82" t="n">
        <f aca="false">SUM(F59:F62)</f>
        <v>10.3988506180262</v>
      </c>
      <c r="G63" s="83" t="n">
        <f aca="false">SUM(G59:G62)</f>
        <v>9.42435640525265</v>
      </c>
      <c r="H63" s="84" t="n">
        <f aca="false">SUM(H59:H62)</f>
        <v>13.5812530169232</v>
      </c>
    </row>
    <row r="64" customFormat="false" ht="12.75" hidden="false" customHeight="false" outlineLevel="0" collapsed="false">
      <c r="A64" s="76"/>
      <c r="B64" s="71"/>
      <c r="C64" s="71"/>
      <c r="D64" s="78"/>
      <c r="F64" s="82"/>
      <c r="G64" s="83"/>
      <c r="H64" s="84"/>
    </row>
    <row r="65" customFormat="false" ht="12.75" hidden="false" customHeight="false" outlineLevel="0" collapsed="false">
      <c r="A65" s="76" t="s">
        <v>194</v>
      </c>
      <c r="B65" s="71" t="n">
        <f aca="false">B30-B47</f>
        <v>663.0265423652</v>
      </c>
      <c r="C65" s="71" t="n">
        <f aca="false">C30-C47</f>
        <v>452.4555</v>
      </c>
      <c r="D65" s="78" t="n">
        <f aca="false">D30-D47</f>
        <v>16.2745800000002</v>
      </c>
      <c r="F65" s="82" t="n">
        <f aca="false">B65/B$67*B$71</f>
        <v>2.21274711654288</v>
      </c>
      <c r="G65" s="83" t="n">
        <f aca="false">C65/C$67*C$71</f>
        <v>1.78313207904092</v>
      </c>
      <c r="H65" s="84" t="n">
        <f aca="false">D65/D$67*D$71</f>
        <v>2.47710502283109</v>
      </c>
    </row>
    <row r="66" customFormat="false" ht="12.75" hidden="false" customHeight="false" outlineLevel="0" collapsed="false">
      <c r="A66" s="76"/>
      <c r="B66" s="71"/>
      <c r="C66" s="71"/>
      <c r="D66" s="78"/>
      <c r="F66" s="76"/>
      <c r="G66" s="44"/>
      <c r="H66" s="77"/>
    </row>
    <row r="67" customFormat="false" ht="12.75" hidden="false" customHeight="false" outlineLevel="0" collapsed="false">
      <c r="A67" s="76" t="s">
        <v>62</v>
      </c>
      <c r="B67" s="71" t="n">
        <f aca="false">SUM(B63:B65)</f>
        <v>3778.93342494388</v>
      </c>
      <c r="C67" s="71" t="n">
        <f aca="false">SUM(C63:C65)</f>
        <v>2843.81054298162</v>
      </c>
      <c r="D67" s="78" t="n">
        <f aca="false">SUM(D63:D65)</f>
        <v>105.503412321186</v>
      </c>
      <c r="F67" s="56" t="n">
        <f aca="false">SUM(F63:F65)</f>
        <v>12.611597734569</v>
      </c>
      <c r="G67" s="93" t="n">
        <f aca="false">SUM(G63:G65)</f>
        <v>11.2074884842936</v>
      </c>
      <c r="H67" s="57" t="n">
        <f aca="false">SUM(H63:H65)</f>
        <v>16.0583580397543</v>
      </c>
    </row>
    <row r="68" customFormat="false" ht="12.75" hidden="false" customHeight="false" outlineLevel="0" collapsed="false">
      <c r="A68" s="76"/>
      <c r="B68" s="10"/>
      <c r="C68" s="10"/>
      <c r="D68" s="88"/>
    </row>
    <row r="69" customFormat="false" ht="12.75" hidden="false" customHeight="false" outlineLevel="0" collapsed="false">
      <c r="A69" s="76" t="s">
        <v>229</v>
      </c>
      <c r="B69" s="8" t="n">
        <f aca="false">+B7</f>
        <v>29963.954643</v>
      </c>
      <c r="C69" s="8" t="n">
        <f aca="false">+C7</f>
        <v>25374.2</v>
      </c>
      <c r="D69" s="89" t="n">
        <f aca="false">+D7</f>
        <v>657</v>
      </c>
    </row>
    <row r="70" customFormat="false" ht="12.75" hidden="false" customHeight="false" outlineLevel="0" collapsed="false">
      <c r="A70" s="76"/>
      <c r="B70" s="10"/>
      <c r="C70" s="10"/>
      <c r="D70" s="88"/>
    </row>
    <row r="71" customFormat="false" ht="12.75" hidden="false" customHeight="false" outlineLevel="0" collapsed="false">
      <c r="A71" s="76" t="s">
        <v>230</v>
      </c>
      <c r="B71" s="9" t="n">
        <f aca="false">+B67/B69*100</f>
        <v>12.611597734569</v>
      </c>
      <c r="C71" s="9" t="n">
        <f aca="false">+C67/C69*100</f>
        <v>11.2074884842936</v>
      </c>
      <c r="D71" s="80" t="n">
        <f aca="false">+D67/D69*100</f>
        <v>16.0583580397543</v>
      </c>
    </row>
    <row r="72" customFormat="false" ht="12.75" hidden="false" customHeight="false" outlineLevel="0" collapsed="false">
      <c r="A72" s="76"/>
      <c r="B72" s="10"/>
      <c r="C72" s="44"/>
      <c r="D72" s="77"/>
    </row>
    <row r="73" customFormat="false" ht="12.75" hidden="false" customHeight="false" outlineLevel="0" collapsed="false">
      <c r="A73" s="69" t="s">
        <v>231</v>
      </c>
      <c r="B73" s="90" t="n">
        <f aca="false">+PGE!J142</f>
        <v>12.2110115990807</v>
      </c>
      <c r="C73" s="90" t="n">
        <f aca="false">+PGE!J142</f>
        <v>12.2110115990807</v>
      </c>
      <c r="D73" s="91" t="n">
        <f aca="false">+SDGE!J105</f>
        <v>11.9939117199391</v>
      </c>
    </row>
    <row r="77" customFormat="false" ht="12.75" hidden="false" customHeight="false" outlineLevel="0" collapsed="false">
      <c r="B77" s="66" t="s">
        <v>158</v>
      </c>
      <c r="C77" s="66" t="s">
        <v>159</v>
      </c>
      <c r="D77" s="66" t="s">
        <v>160</v>
      </c>
    </row>
    <row r="79" customFormat="false" ht="12.75" hidden="false" customHeight="false" outlineLevel="0" collapsed="false">
      <c r="A79" s="0" t="s">
        <v>232</v>
      </c>
      <c r="B79" s="73" t="n">
        <f aca="false">+B81*1.25</f>
        <v>4.8875</v>
      </c>
      <c r="C79" s="73" t="n">
        <f aca="false">+C81*1.25</f>
        <v>5.25</v>
      </c>
      <c r="D79" s="73" t="n">
        <v>6.379</v>
      </c>
    </row>
    <row r="80" customFormat="false" ht="12.75" hidden="false" customHeight="false" outlineLevel="0" collapsed="false">
      <c r="A80" s="0" t="s">
        <v>233</v>
      </c>
      <c r="B80" s="73" t="n">
        <f aca="false">+(B30-(B79*B6/100))/B7*100</f>
        <v>2.21274711654289</v>
      </c>
      <c r="C80" s="73" t="n">
        <f aca="false">+(C30-(C79*C6/100))/C7*100</f>
        <v>1.78313207904092</v>
      </c>
      <c r="D80" s="73" t="n">
        <f aca="false">+(D30-(D79*D6/100))/D7*100</f>
        <v>2.47710502283109</v>
      </c>
    </row>
    <row r="81" customFormat="false" ht="12.75" hidden="false" customHeight="false" outlineLevel="0" collapsed="false">
      <c r="A81" s="0" t="s">
        <v>234</v>
      </c>
      <c r="B81" s="73" t="n">
        <f aca="false">+B34</f>
        <v>3.91</v>
      </c>
      <c r="C81" s="73" t="n">
        <f aca="false">+C34</f>
        <v>4.2</v>
      </c>
      <c r="D81" s="73" t="n">
        <f aca="false">+D34</f>
        <v>6.23</v>
      </c>
    </row>
    <row r="82" customFormat="false" ht="12.75" hidden="false" customHeight="false" outlineLevel="0" collapsed="false">
      <c r="A82" s="71" t="s">
        <v>235</v>
      </c>
      <c r="B82" s="71" t="n">
        <f aca="false">+((B79*B6)+(B7*B80))/100</f>
        <v>3205.8469632457</v>
      </c>
      <c r="C82" s="71" t="n">
        <f aca="false">+((C79*C6)+(C7*C80))/100</f>
        <v>3518.76</v>
      </c>
      <c r="D82" s="71" t="n">
        <f aca="false">+((D79*D6)+(D7*D80))/100</f>
        <v>1071.8715</v>
      </c>
      <c r="E82" s="71"/>
      <c r="F82" s="71"/>
      <c r="G82" s="71"/>
      <c r="H82" s="71"/>
      <c r="I82" s="71"/>
      <c r="J82" s="71"/>
    </row>
    <row r="85" customFormat="false" ht="12.75" hidden="false" customHeight="false" outlineLevel="0" collapsed="false">
      <c r="A85" s="0" t="s">
        <v>236</v>
      </c>
      <c r="B85" s="11" t="n">
        <f aca="false">+B79/B80</f>
        <v>2.20879284553585</v>
      </c>
      <c r="C85" s="11" t="n">
        <f aca="false">+C79/C80</f>
        <v>2.94425750156645</v>
      </c>
      <c r="D85" s="11" t="n">
        <f aca="false">+D79/D80</f>
        <v>2.57518350703977</v>
      </c>
    </row>
    <row r="86" customFormat="false" ht="12.75" hidden="false" customHeight="false" outlineLevel="0" collapsed="false">
      <c r="A86" s="0" t="s">
        <v>237</v>
      </c>
      <c r="B86" s="11" t="n">
        <f aca="false">+B79/B81</f>
        <v>1.25</v>
      </c>
      <c r="C86" s="11" t="n">
        <f aca="false">+C79/C81</f>
        <v>1.25</v>
      </c>
      <c r="D86" s="11" t="n">
        <f aca="false">+D79/D81</f>
        <v>1.0239165329053</v>
      </c>
    </row>
    <row r="89" customFormat="false" ht="12.75" hidden="false" customHeight="false" outlineLevel="0" collapsed="false">
      <c r="A89" s="55" t="s">
        <v>238</v>
      </c>
      <c r="B89" s="8" t="n">
        <v>81923</v>
      </c>
      <c r="C89" s="8" t="n">
        <v>83436</v>
      </c>
      <c r="D89" s="43" t="n">
        <v>19322</v>
      </c>
    </row>
    <row r="90" customFormat="false" ht="12.75" hidden="false" customHeight="false" outlineLevel="0" collapsed="false">
      <c r="A90" s="0" t="s">
        <v>239</v>
      </c>
      <c r="B90" s="71" t="n">
        <v>6854</v>
      </c>
      <c r="C90" s="71" t="n">
        <v>7870</v>
      </c>
      <c r="D90" s="71" t="n">
        <v>2184</v>
      </c>
    </row>
    <row r="92" customFormat="false" ht="12.75" hidden="false" customHeight="false" outlineLevel="0" collapsed="false">
      <c r="A92" s="0" t="s">
        <v>240</v>
      </c>
      <c r="B92" s="9" t="n">
        <f aca="false">+B90/B89*100</f>
        <v>8.36639283229374</v>
      </c>
      <c r="C92" s="9" t="n">
        <f aca="false">+C90/C89*100</f>
        <v>9.43237930869169</v>
      </c>
      <c r="D92" s="9" t="n">
        <f aca="false">+D90/D89*100</f>
        <v>11.3031777248732</v>
      </c>
    </row>
    <row r="93" customFormat="false" ht="15" hidden="false" customHeight="false" outlineLevel="0" collapsed="false">
      <c r="A93" s="0" t="s">
        <v>241</v>
      </c>
      <c r="B93" s="94" t="n">
        <v>5.5</v>
      </c>
      <c r="C93" s="94" t="n">
        <v>6.3</v>
      </c>
      <c r="D93" s="94" t="n">
        <v>5.5</v>
      </c>
    </row>
    <row r="94" customFormat="false" ht="12.75" hidden="false" customHeight="false" outlineLevel="0" collapsed="false">
      <c r="A94" s="0" t="s">
        <v>242</v>
      </c>
      <c r="B94" s="9" t="n">
        <f aca="false">+B92-B93</f>
        <v>2.86639283229374</v>
      </c>
      <c r="C94" s="9" t="n">
        <f aca="false">+C92-C93</f>
        <v>3.13237930869169</v>
      </c>
      <c r="D94" s="9" t="n">
        <f aca="false">+D92-D93</f>
        <v>5.8031777248732</v>
      </c>
    </row>
    <row r="96" customFormat="false" ht="12.75" hidden="false" customHeight="false" outlineLevel="0" collapsed="false">
      <c r="A96" s="0" t="s">
        <v>242</v>
      </c>
      <c r="B96" s="8" t="n">
        <f aca="false">+B94*B89/100</f>
        <v>2348.235</v>
      </c>
      <c r="C96" s="8" t="n">
        <f aca="false">+C94*C89/100</f>
        <v>2613.532</v>
      </c>
      <c r="D96" s="8" t="n">
        <f aca="false">+D94*D89/100</f>
        <v>1121.29</v>
      </c>
    </row>
    <row r="100" customFormat="false" ht="12.75" hidden="false" customHeight="false" outlineLevel="0" collapsed="false">
      <c r="B100" s="95"/>
      <c r="C100" s="95"/>
      <c r="D100" s="95"/>
      <c r="E100" s="95"/>
    </row>
  </sheetData>
  <mergeCells count="1">
    <mergeCell ref="B2:D2"/>
  </mergeCells>
  <printOptions headings="false" gridLines="false" gridLinesSet="true" horizontalCentered="false" verticalCentered="false"/>
  <pageMargins left="0.747916666666667" right="0.747916666666667" top="0.47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K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13.41"/>
    <col collapsed="false" customWidth="true" hidden="false" outlineLevel="0" max="3" min="3" style="0" width="11.28"/>
    <col collapsed="false" customWidth="true" hidden="false" outlineLevel="0" max="4" min="4" style="0" width="10.41"/>
    <col collapsed="false" customWidth="true" hidden="false" outlineLevel="0" max="5" min="5" style="0" width="8.85"/>
  </cols>
  <sheetData>
    <row r="2" customFormat="false" ht="12.75" hidden="false" customHeight="false" outlineLevel="0" collapsed="false">
      <c r="A2" s="0" t="s">
        <v>243</v>
      </c>
      <c r="B2" s="96"/>
      <c r="C2" s="96" t="n">
        <v>0.02</v>
      </c>
      <c r="D2" s="96" t="n">
        <v>0.02</v>
      </c>
      <c r="E2" s="96" t="n">
        <v>0.02</v>
      </c>
      <c r="F2" s="96" t="n">
        <v>0.02</v>
      </c>
      <c r="G2" s="96" t="n">
        <v>0.02</v>
      </c>
      <c r="H2" s="96" t="n">
        <v>0.02</v>
      </c>
      <c r="I2" s="96" t="n">
        <v>0.02</v>
      </c>
      <c r="J2" s="96" t="n">
        <v>0.02</v>
      </c>
      <c r="K2" s="96" t="n">
        <v>0.02</v>
      </c>
    </row>
    <row r="3" customFormat="false" ht="12.75" hidden="false" customHeight="false" outlineLevel="0" collapsed="false">
      <c r="A3" s="0" t="s">
        <v>244</v>
      </c>
      <c r="B3" s="96"/>
      <c r="C3" s="96" t="n">
        <v>0.04</v>
      </c>
      <c r="D3" s="96" t="n">
        <v>0.03</v>
      </c>
      <c r="E3" s="96" t="n">
        <v>0.02</v>
      </c>
      <c r="F3" s="96" t="n">
        <v>0.02</v>
      </c>
      <c r="G3" s="96" t="n">
        <v>0.02</v>
      </c>
      <c r="H3" s="96" t="n">
        <v>0.015</v>
      </c>
      <c r="I3" s="96" t="n">
        <v>0.01</v>
      </c>
      <c r="J3" s="96" t="n">
        <v>0</v>
      </c>
      <c r="K3" s="96" t="n">
        <v>0</v>
      </c>
    </row>
    <row r="4" customFormat="false" ht="12.75" hidden="false" customHeight="false" outlineLevel="0" collapsed="false">
      <c r="A4" s="0" t="s">
        <v>245</v>
      </c>
      <c r="B4" s="96"/>
      <c r="C4" s="96" t="n">
        <v>0.03</v>
      </c>
      <c r="D4" s="96" t="n">
        <v>0.015</v>
      </c>
      <c r="E4" s="96" t="n">
        <v>0.01</v>
      </c>
      <c r="F4" s="96" t="n">
        <v>0.005</v>
      </c>
      <c r="G4" s="96" t="n">
        <v>0</v>
      </c>
      <c r="H4" s="96" t="n">
        <v>0</v>
      </c>
      <c r="I4" s="96" t="n">
        <v>0</v>
      </c>
      <c r="J4" s="96" t="n">
        <v>0</v>
      </c>
      <c r="K4" s="96" t="n">
        <v>0</v>
      </c>
    </row>
    <row r="6" customFormat="false" ht="12.75" hidden="false" customHeight="false" outlineLevel="0" collapsed="false">
      <c r="A6" s="65"/>
      <c r="B6" s="66" t="n">
        <v>2001</v>
      </c>
      <c r="C6" s="66" t="n">
        <v>2002</v>
      </c>
      <c r="D6" s="66" t="n">
        <v>2003</v>
      </c>
      <c r="E6" s="66" t="n">
        <v>2004</v>
      </c>
      <c r="F6" s="66" t="n">
        <v>2005</v>
      </c>
      <c r="G6" s="66" t="n">
        <v>2006</v>
      </c>
      <c r="H6" s="66" t="n">
        <v>2007</v>
      </c>
      <c r="I6" s="66" t="n">
        <v>2008</v>
      </c>
      <c r="J6" s="66" t="n">
        <v>2009</v>
      </c>
      <c r="K6" s="66" t="n">
        <v>2010</v>
      </c>
    </row>
    <row r="8" customFormat="false" ht="12.75" hidden="false" customHeight="false" outlineLevel="0" collapsed="false">
      <c r="A8" s="0" t="s">
        <v>204</v>
      </c>
      <c r="B8" s="8" t="n">
        <f aca="false">'Core &amp; Non-core'!B6</f>
        <v>52027.016284</v>
      </c>
      <c r="C8" s="8" t="n">
        <f aca="false">B8*(1+C2)*(1-(C3+C4))</f>
        <v>49352.8276470024</v>
      </c>
      <c r="D8" s="8" t="n">
        <f aca="false">C8*(1+D2)*(1-(D3+D4))</f>
        <v>48074.589410945</v>
      </c>
      <c r="E8" s="8" t="n">
        <f aca="false">D8*(1+E2)*(1-(E3+E4))</f>
        <v>47564.998763189</v>
      </c>
      <c r="F8" s="8" t="n">
        <f aca="false">E8*(1+F2)*(1-(F3+F4))</f>
        <v>47303.3912699915</v>
      </c>
      <c r="G8" s="8" t="n">
        <f aca="false">F8*(1+G2)*(1-(G3+G4))</f>
        <v>47284.4699134835</v>
      </c>
      <c r="H8" s="8" t="n">
        <f aca="false">G8*(1+H2)*(1-(H3+H4))</f>
        <v>47506.7069220769</v>
      </c>
      <c r="I8" s="8" t="n">
        <f aca="false">H8*(1+I2)*(1-(I3+I4))</f>
        <v>47972.2726499132</v>
      </c>
      <c r="J8" s="8" t="n">
        <f aca="false">I8*(1+J2)*(1-(J3+J4))</f>
        <v>48931.7181029115</v>
      </c>
      <c r="K8" s="8" t="n">
        <f aca="false">J8*(1+K2)*(1-(K3+K4))</f>
        <v>49910.3524649697</v>
      </c>
    </row>
    <row r="9" customFormat="false" ht="12.75" hidden="false" customHeight="false" outlineLevel="0" collapsed="false">
      <c r="A9" s="0" t="s">
        <v>205</v>
      </c>
      <c r="B9" s="8" t="n">
        <f aca="false">'Core &amp; Non-core'!B7</f>
        <v>29963.954643</v>
      </c>
      <c r="C9" s="8"/>
    </row>
    <row r="10" customFormat="false" ht="12.75" hidden="false" customHeight="false" outlineLevel="0" collapsed="false">
      <c r="A10" s="0" t="s">
        <v>207</v>
      </c>
      <c r="B10" s="8" t="n">
        <f aca="false">'Core &amp; Non-core'!B8</f>
        <v>81990.970927</v>
      </c>
      <c r="C10" s="8"/>
    </row>
    <row r="11" customFormat="false" ht="12.75" hidden="false" customHeight="false" outlineLevel="0" collapsed="false">
      <c r="B11" s="8"/>
      <c r="C11" s="8"/>
    </row>
    <row r="12" customFormat="false" ht="12.75" hidden="false" customHeight="false" outlineLevel="0" collapsed="false">
      <c r="A12" s="0" t="s">
        <v>210</v>
      </c>
      <c r="B12" s="8" t="n">
        <f aca="false">'Core &amp; Non-core'!B10</f>
        <v>53940</v>
      </c>
      <c r="C12" s="8"/>
    </row>
    <row r="13" customFormat="false" ht="12.75" hidden="false" customHeight="false" outlineLevel="0" collapsed="false">
      <c r="A13" s="0" t="s">
        <v>246</v>
      </c>
      <c r="B13" s="8" t="e">
        <f aca="false">#REF!</f>
        <v>#REF!</v>
      </c>
      <c r="C13" s="8"/>
    </row>
    <row r="14" customFormat="false" ht="12.75" hidden="false" customHeight="false" outlineLevel="0" collapsed="false">
      <c r="A14" s="0" t="s">
        <v>247</v>
      </c>
      <c r="B14" s="8" t="e">
        <f aca="false">#REF!</f>
        <v>#REF!</v>
      </c>
      <c r="C14" s="8"/>
    </row>
    <row r="15" customFormat="false" ht="12.75" hidden="false" customHeight="false" outlineLevel="0" collapsed="false">
      <c r="B15" s="8"/>
      <c r="C15" s="8"/>
    </row>
    <row r="16" customFormat="false" ht="12.75" hidden="false" customHeight="false" outlineLevel="0" collapsed="false">
      <c r="A16" s="0" t="s">
        <v>211</v>
      </c>
      <c r="B16" s="8"/>
      <c r="C16" s="8"/>
    </row>
    <row r="17" customFormat="false" ht="12.75" hidden="false" customHeight="false" outlineLevel="0" collapsed="false">
      <c r="A17" s="0" t="s">
        <v>212</v>
      </c>
      <c r="B17" s="8" t="n">
        <f aca="false">'Core &amp; Non-core'!B13</f>
        <v>-28050.970927</v>
      </c>
      <c r="C17" s="8"/>
    </row>
    <row r="18" customFormat="false" ht="12.75" hidden="false" customHeight="false" outlineLevel="0" collapsed="false">
      <c r="A18" s="0" t="s">
        <v>213</v>
      </c>
      <c r="B18" s="8" t="n">
        <f aca="false">'Core &amp; Non-core'!B14</f>
        <v>1912.983716</v>
      </c>
      <c r="C18" s="8"/>
    </row>
    <row r="19" customFormat="false" ht="12.75" hidden="false" customHeight="false" outlineLevel="0" collapsed="false">
      <c r="B19" s="43"/>
    </row>
    <row r="20" customFormat="false" ht="12.75" hidden="false" customHeight="false" outlineLevel="0" collapsed="false">
      <c r="A20" s="0" t="s">
        <v>247</v>
      </c>
      <c r="B20" s="43"/>
    </row>
    <row r="21" customFormat="false" ht="12.75" hidden="false" customHeight="false" outlineLevel="0" collapsed="false">
      <c r="A21" s="0" t="s">
        <v>212</v>
      </c>
      <c r="B21" s="8" t="e">
        <f aca="false">#REF!</f>
        <v>#REF!</v>
      </c>
    </row>
    <row r="22" customFormat="false" ht="12.75" hidden="false" customHeight="false" outlineLevel="0" collapsed="false">
      <c r="A22" s="0" t="s">
        <v>213</v>
      </c>
      <c r="B22" s="8" t="e">
        <f aca="false">#REF!</f>
        <v>#REF!</v>
      </c>
    </row>
    <row r="23" customFormat="false" ht="12.75" hidden="false" customHeight="false" outlineLevel="0" collapsed="false">
      <c r="A23" s="0" t="s">
        <v>248</v>
      </c>
      <c r="B23" s="8" t="e">
        <f aca="false">#REF!</f>
        <v>#REF!</v>
      </c>
    </row>
    <row r="24" customFormat="false" ht="12.75" hidden="false" customHeight="false" outlineLevel="0" collapsed="false">
      <c r="A24" s="0" t="s">
        <v>249</v>
      </c>
      <c r="B24" s="8" t="e">
        <f aca="false">#REF!</f>
        <v>#REF!</v>
      </c>
    </row>
    <row r="25" customFormat="false" ht="12.75" hidden="false" customHeight="false" outlineLevel="0" collapsed="false">
      <c r="B25" s="43"/>
    </row>
    <row r="26" customFormat="false" ht="12.75" hidden="false" customHeight="false" outlineLevel="0" collapsed="false">
      <c r="A26" s="0" t="s">
        <v>250</v>
      </c>
      <c r="B26" s="97" t="e">
        <f aca="false">SUM(B24)/SUM(B13)</f>
        <v>#REF!</v>
      </c>
    </row>
    <row r="27" customFormat="false" ht="12.75" hidden="false" customHeight="false" outlineLevel="0" collapsed="false">
      <c r="A27" s="0" t="s">
        <v>251</v>
      </c>
      <c r="B27" s="71" t="e">
        <f aca="false">$B$26*-SUM(Curves!$O$7:$O$9)*'PGE - Core Analysis'!B24/SUM('PGE - Core Analysis'!$B$24)/1000</f>
        <v>#REF!</v>
      </c>
    </row>
    <row r="29" customFormat="false" ht="12.75" hidden="false" customHeight="false" outlineLevel="0" collapsed="false">
      <c r="A29" s="0" t="s">
        <v>214</v>
      </c>
    </row>
    <row r="31" customFormat="false" ht="12.75" hidden="false" customHeight="false" outlineLevel="0" collapsed="false">
      <c r="B31" s="66" t="s">
        <v>158</v>
      </c>
    </row>
    <row r="32" customFormat="false" ht="12.75" hidden="false" customHeight="false" outlineLevel="0" collapsed="false">
      <c r="B32" s="66"/>
    </row>
    <row r="33" customFormat="false" ht="12.75" hidden="false" customHeight="false" outlineLevel="0" collapsed="false">
      <c r="A33" s="0" t="s">
        <v>252</v>
      </c>
      <c r="B33" s="8" t="e">
        <f aca="false">#REF!</f>
        <v>#REF!</v>
      </c>
    </row>
    <row r="34" customFormat="false" ht="12.75" hidden="false" customHeight="false" outlineLevel="0" collapsed="false">
      <c r="A34" s="71" t="s">
        <v>253</v>
      </c>
      <c r="B34" s="8" t="e">
        <f aca="false">#REF!</f>
        <v>#REF!</v>
      </c>
      <c r="C34" s="71"/>
      <c r="D34" s="71"/>
      <c r="E34" s="71"/>
    </row>
    <row r="35" customFormat="false" ht="12.75" hidden="false" customHeight="false" outlineLevel="0" collapsed="false">
      <c r="A35" s="0" t="s">
        <v>254</v>
      </c>
      <c r="B35" s="98" t="e">
        <f aca="false">+B34/B33*100</f>
        <v>#REF!</v>
      </c>
    </row>
    <row r="36" customFormat="false" ht="12.75" hidden="false" customHeight="false" outlineLevel="0" collapsed="false">
      <c r="B36" s="99"/>
    </row>
    <row r="37" customFormat="false" ht="12.75" hidden="false" customHeight="false" outlineLevel="0" collapsed="false">
      <c r="A37" s="0" t="s">
        <v>255</v>
      </c>
      <c r="B37" s="8" t="e">
        <f aca="false">#REF!</f>
        <v>#REF!</v>
      </c>
    </row>
    <row r="38" customFormat="false" ht="12.75" hidden="false" customHeight="false" outlineLevel="0" collapsed="false">
      <c r="A38" s="71" t="s">
        <v>256</v>
      </c>
      <c r="B38" s="8" t="e">
        <f aca="false">#REF!</f>
        <v>#REF!</v>
      </c>
      <c r="C38" s="71"/>
      <c r="D38" s="71"/>
      <c r="E38" s="71"/>
    </row>
    <row r="39" customFormat="false" ht="12.75" hidden="false" customHeight="false" outlineLevel="0" collapsed="false">
      <c r="A39" s="0" t="s">
        <v>254</v>
      </c>
      <c r="B39" s="98" t="e">
        <f aca="false">+B38/B37*100</f>
        <v>#REF!</v>
      </c>
    </row>
    <row r="41" customFormat="false" ht="12.75" hidden="false" customHeight="false" outlineLevel="0" collapsed="false">
      <c r="A41" s="0" t="s">
        <v>257</v>
      </c>
      <c r="B41" s="8" t="e">
        <f aca="false">#REF!</f>
        <v>#REF!</v>
      </c>
    </row>
    <row r="42" customFormat="false" ht="12.75" hidden="false" customHeight="false" outlineLevel="0" collapsed="false">
      <c r="A42" s="71" t="s">
        <v>258</v>
      </c>
      <c r="B42" s="8" t="e">
        <f aca="false">#REF!</f>
        <v>#REF!</v>
      </c>
      <c r="C42" s="71"/>
      <c r="D42" s="71"/>
      <c r="E42" s="71"/>
    </row>
    <row r="43" customFormat="false" ht="12.75" hidden="false" customHeight="false" outlineLevel="0" collapsed="false">
      <c r="A43" s="0" t="s">
        <v>254</v>
      </c>
      <c r="B43" s="100" t="e">
        <f aca="false">+B42/B41*100</f>
        <v>#REF!</v>
      </c>
    </row>
    <row r="45" customFormat="false" ht="12.75" hidden="false" customHeight="false" outlineLevel="0" collapsed="false">
      <c r="A45" s="0" t="s">
        <v>259</v>
      </c>
      <c r="B45" s="8" t="e">
        <f aca="false">#REF!</f>
        <v>#REF!</v>
      </c>
    </row>
    <row r="46" customFormat="false" ht="12.75" hidden="false" customHeight="false" outlineLevel="0" collapsed="false">
      <c r="A46" s="71" t="s">
        <v>260</v>
      </c>
      <c r="B46" s="8" t="e">
        <f aca="false">#REF!</f>
        <v>#REF!</v>
      </c>
      <c r="C46" s="71"/>
      <c r="D46" s="71"/>
      <c r="E46" s="71"/>
    </row>
    <row r="47" customFormat="false" ht="12.75" hidden="false" customHeight="false" outlineLevel="0" collapsed="false">
      <c r="A47" s="0" t="s">
        <v>254</v>
      </c>
      <c r="B47" s="100" t="e">
        <f aca="false">+B46/B45*100</f>
        <v>#REF!</v>
      </c>
    </row>
    <row r="50" customFormat="false" ht="12.75" hidden="false" customHeight="false" outlineLevel="0" collapsed="false">
      <c r="B50" s="66" t="s">
        <v>158</v>
      </c>
    </row>
    <row r="52" customFormat="false" ht="12.75" hidden="false" customHeight="false" outlineLevel="0" collapsed="false">
      <c r="A52" s="0" t="s">
        <v>215</v>
      </c>
      <c r="B52" s="71" t="n">
        <f aca="false">83000*0.98*0.01</f>
        <v>813.4</v>
      </c>
    </row>
    <row r="53" customFormat="false" ht="12.75" hidden="false" customHeight="false" outlineLevel="0" collapsed="false">
      <c r="A53" s="0" t="s">
        <v>216</v>
      </c>
      <c r="B53" s="71" t="n">
        <f aca="false">83000*0.98*0.033</f>
        <v>2684.22</v>
      </c>
    </row>
    <row r="54" customFormat="false" ht="12.75" hidden="false" customHeight="false" outlineLevel="0" collapsed="false">
      <c r="A54" s="0" t="s">
        <v>208</v>
      </c>
      <c r="B54" s="71" t="n">
        <f aca="false">83000*0.98*0.007</f>
        <v>569.38</v>
      </c>
    </row>
    <row r="55" customFormat="false" ht="12.75" hidden="false" customHeight="false" outlineLevel="0" collapsed="false">
      <c r="A55" s="0" t="s">
        <v>218</v>
      </c>
      <c r="B55" s="71" t="n">
        <f aca="false">83000*0.98*0.043</f>
        <v>3497.62</v>
      </c>
    </row>
    <row r="56" customFormat="false" ht="12.75" hidden="false" customHeight="false" outlineLevel="0" collapsed="false">
      <c r="B56" s="71"/>
    </row>
    <row r="57" customFormat="false" ht="12.75" hidden="false" customHeight="false" outlineLevel="0" collapsed="false">
      <c r="A57" s="0" t="s">
        <v>189</v>
      </c>
      <c r="B57" s="71" t="n">
        <f aca="false">SUM(B52:B56)</f>
        <v>7564.62</v>
      </c>
    </row>
    <row r="58" customFormat="false" ht="12.75" hidden="false" customHeight="false" outlineLevel="0" collapsed="false">
      <c r="B58" s="71"/>
    </row>
    <row r="59" customFormat="false" ht="12.75" hidden="false" customHeight="false" outlineLevel="0" collapsed="false">
      <c r="A59" s="0" t="s">
        <v>261</v>
      </c>
      <c r="B59" s="71" t="e">
        <f aca="false">+B61-B57</f>
        <v>#REF!</v>
      </c>
    </row>
    <row r="60" customFormat="false" ht="12.75" hidden="false" customHeight="false" outlineLevel="0" collapsed="false">
      <c r="B60" s="71"/>
    </row>
    <row r="61" customFormat="false" ht="12.75" hidden="false" customHeight="false" outlineLevel="0" collapsed="false">
      <c r="A61" s="0" t="s">
        <v>219</v>
      </c>
      <c r="B61" s="71" t="e">
        <f aca="false">+B42+B46</f>
        <v>#REF!</v>
      </c>
    </row>
    <row r="63" customFormat="false" ht="12.75" hidden="false" customHeight="false" outlineLevel="0" collapsed="false">
      <c r="A63" s="0" t="s">
        <v>220</v>
      </c>
      <c r="B63" s="92" t="e">
        <f aca="false">+B59/B10*100</f>
        <v>#REF!</v>
      </c>
    </row>
    <row r="66" customFormat="false" ht="12.75" hidden="false" customHeight="false" outlineLevel="0" collapsed="false">
      <c r="A66" s="74" t="s">
        <v>222</v>
      </c>
      <c r="B66" s="75"/>
    </row>
    <row r="67" customFormat="false" ht="12.75" hidden="false" customHeight="false" outlineLevel="0" collapsed="false">
      <c r="A67" s="76"/>
      <c r="B67" s="10"/>
    </row>
    <row r="68" customFormat="false" ht="12.75" hidden="false" customHeight="false" outlineLevel="0" collapsed="false">
      <c r="A68" s="76" t="s">
        <v>188</v>
      </c>
      <c r="B68" s="71" t="e">
        <f aca="false">+B54*(B41/B10)</f>
        <v>#REF!</v>
      </c>
    </row>
    <row r="69" customFormat="false" ht="12.75" hidden="false" customHeight="false" outlineLevel="0" collapsed="false">
      <c r="A69" s="76" t="s">
        <v>218</v>
      </c>
      <c r="B69" s="71" t="n">
        <f aca="false">+B55</f>
        <v>3497.62</v>
      </c>
    </row>
    <row r="70" customFormat="false" ht="12.75" hidden="false" customHeight="false" outlineLevel="0" collapsed="false">
      <c r="A70" s="76" t="s">
        <v>184</v>
      </c>
      <c r="B70" s="71" t="e">
        <f aca="false">+B52*(B41/B10)</f>
        <v>#REF!</v>
      </c>
    </row>
    <row r="71" customFormat="false" ht="12.75" hidden="false" customHeight="false" outlineLevel="0" collapsed="false">
      <c r="A71" s="76" t="s">
        <v>262</v>
      </c>
      <c r="B71" s="71" t="n">
        <f aca="false">((0.08*B10)*133)/1000</f>
        <v>872.38393066328</v>
      </c>
    </row>
    <row r="72" customFormat="false" ht="12.75" hidden="false" customHeight="false" outlineLevel="0" collapsed="false">
      <c r="A72" s="76" t="s">
        <v>263</v>
      </c>
      <c r="B72" s="71" t="e">
        <f aca="false">+B59*(B41/B10)</f>
        <v>#REF!</v>
      </c>
    </row>
    <row r="73" customFormat="false" ht="12.75" hidden="false" customHeight="false" outlineLevel="0" collapsed="false">
      <c r="A73" s="76" t="s">
        <v>264</v>
      </c>
      <c r="B73" s="71" t="e">
        <f aca="false">-B27</f>
        <v>#REF!</v>
      </c>
    </row>
    <row r="74" customFormat="false" ht="12.75" hidden="false" customHeight="false" outlineLevel="0" collapsed="false">
      <c r="A74" s="76"/>
      <c r="B74" s="71"/>
    </row>
    <row r="75" customFormat="false" ht="12.75" hidden="false" customHeight="false" outlineLevel="0" collapsed="false">
      <c r="A75" s="76" t="s">
        <v>62</v>
      </c>
      <c r="B75" s="71" t="e">
        <f aca="false">SUM(B68:B74)</f>
        <v>#REF!</v>
      </c>
    </row>
    <row r="76" customFormat="false" ht="12.75" hidden="false" customHeight="false" outlineLevel="0" collapsed="false">
      <c r="A76" s="76"/>
      <c r="B76" s="10"/>
    </row>
    <row r="77" customFormat="false" ht="12.75" hidden="false" customHeight="false" outlineLevel="0" collapsed="false">
      <c r="A77" s="76" t="s">
        <v>225</v>
      </c>
      <c r="B77" s="8" t="e">
        <f aca="false">+B41</f>
        <v>#REF!</v>
      </c>
    </row>
    <row r="78" customFormat="false" ht="12.75" hidden="false" customHeight="false" outlineLevel="0" collapsed="false">
      <c r="A78" s="76"/>
      <c r="B78" s="10"/>
    </row>
    <row r="79" customFormat="false" ht="12.75" hidden="false" customHeight="false" outlineLevel="0" collapsed="false">
      <c r="A79" s="76" t="s">
        <v>226</v>
      </c>
      <c r="B79" s="9" t="e">
        <f aca="false">+B75/B77*100</f>
        <v>#REF!</v>
      </c>
    </row>
    <row r="80" customFormat="false" ht="12.75" hidden="false" customHeight="false" outlineLevel="0" collapsed="false">
      <c r="A80" s="76"/>
      <c r="B80" s="10"/>
    </row>
    <row r="81" customFormat="false" ht="12.75" hidden="false" customHeight="false" outlineLevel="0" collapsed="false">
      <c r="A81" s="69" t="s">
        <v>227</v>
      </c>
      <c r="B81" s="90" t="e">
        <f aca="false">+B43</f>
        <v>#REF!</v>
      </c>
    </row>
    <row r="82" customFormat="false" ht="12.75" hidden="false" customHeight="false" outlineLevel="0" collapsed="false">
      <c r="B82" s="10"/>
    </row>
    <row r="83" customFormat="false" ht="12.75" hidden="false" customHeight="false" outlineLevel="0" collapsed="false">
      <c r="A83" s="0" t="s">
        <v>265</v>
      </c>
      <c r="B83" s="10"/>
    </row>
    <row r="84" customFormat="false" ht="12.75" hidden="false" customHeight="false" outlineLevel="0" collapsed="false">
      <c r="A84" s="101" t="s">
        <v>266</v>
      </c>
      <c r="B84" s="10"/>
    </row>
    <row r="85" customFormat="false" ht="12.75" hidden="false" customHeight="false" outlineLevel="0" collapsed="false">
      <c r="B85" s="10"/>
    </row>
    <row r="86" customFormat="false" ht="12.75" hidden="false" customHeight="false" outlineLevel="0" collapsed="false">
      <c r="B86" s="10"/>
    </row>
    <row r="87" customFormat="false" ht="12.75" hidden="false" customHeight="false" outlineLevel="0" collapsed="false">
      <c r="B8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2001-05-08T15:42:48Z</dcterms:created>
  <dc:creator>mtribole</dc:creator>
  <dc:description/>
  <dc:language>en-US</dc:language>
  <cp:lastModifiedBy>mtribole</cp:lastModifiedBy>
  <cp:lastPrinted>2001-05-18T20:56:18Z</cp:lastPrinted>
  <dcterms:modified xsi:type="dcterms:W3CDTF">2001-05-18T21:15:21Z</dcterms:modified>
  <cp:revision>0</cp:revision>
  <dc:subject/>
  <dc:title/>
</cp:coreProperties>
</file>